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360" windowHeight="7755"/>
  </bookViews>
  <sheets>
    <sheet name="SES" sheetId="1" r:id="rId1"/>
    <sheet name="Plan6" sheetId="10" r:id="rId2"/>
    <sheet name="Plan5" sheetId="9" r:id="rId3"/>
    <sheet name="Plan2" sheetId="7" r:id="rId4"/>
    <sheet name="Plan4" sheetId="8" r:id="rId5"/>
    <sheet name="Plan1" sheetId="6" r:id="rId6"/>
    <sheet name="Plan3" sheetId="3" r:id="rId7"/>
  </sheets>
  <definedNames>
    <definedName name="_xlnm.Print_Titles" localSheetId="0">SES!$1:$12</definedName>
  </definedNames>
  <calcPr calcId="144525"/>
</workbook>
</file>

<file path=xl/calcChain.xml><?xml version="1.0" encoding="utf-8"?>
<calcChain xmlns="http://schemas.openxmlformats.org/spreadsheetml/2006/main">
  <c r="F17" i="1" l="1"/>
  <c r="F16" i="1"/>
  <c r="I17" i="1"/>
  <c r="F19" i="1"/>
  <c r="F18" i="1"/>
  <c r="H19" i="1"/>
  <c r="H18" i="1"/>
  <c r="H17" i="1"/>
  <c r="F63" i="1" l="1"/>
  <c r="H63" i="1" s="1"/>
  <c r="H61" i="1" s="1"/>
  <c r="H62" i="1"/>
  <c r="F53" i="1"/>
  <c r="H53" i="1" s="1"/>
  <c r="H50" i="1"/>
  <c r="F50" i="1"/>
  <c r="H49" i="1"/>
  <c r="F49" i="1"/>
  <c r="H47" i="1"/>
  <c r="F47" i="1"/>
  <c r="F48" i="1" s="1"/>
  <c r="H48" i="1" s="1"/>
  <c r="H45" i="1" s="1"/>
  <c r="F43" i="1"/>
  <c r="H43" i="1" s="1"/>
  <c r="H41" i="1" s="1"/>
  <c r="H42" i="1"/>
  <c r="F33" i="1"/>
  <c r="H33" i="1" s="1"/>
  <c r="H30" i="1"/>
  <c r="F30" i="1"/>
  <c r="H29" i="1"/>
  <c r="F29" i="1"/>
  <c r="H27" i="1"/>
  <c r="F27" i="1"/>
  <c r="F28" i="1" s="1"/>
  <c r="H28" i="1" s="1"/>
  <c r="H25" i="1" s="1"/>
  <c r="F34" i="1" l="1"/>
  <c r="F37" i="1"/>
  <c r="H37" i="1" s="1"/>
  <c r="F38" i="1"/>
  <c r="H38" i="1" s="1"/>
  <c r="F39" i="1"/>
  <c r="H39" i="1" s="1"/>
  <c r="F40" i="1"/>
  <c r="H40" i="1" s="1"/>
  <c r="F54" i="1"/>
  <c r="F57" i="1"/>
  <c r="H57" i="1" s="1"/>
  <c r="F58" i="1"/>
  <c r="H58" i="1" s="1"/>
  <c r="F59" i="1"/>
  <c r="H59" i="1" s="1"/>
  <c r="F60" i="1"/>
  <c r="H60" i="1" s="1"/>
  <c r="F83" i="1"/>
  <c r="H54" i="1" l="1"/>
  <c r="F55" i="1"/>
  <c r="H55" i="1" s="1"/>
  <c r="H34" i="1"/>
  <c r="F35" i="1"/>
  <c r="H35" i="1" s="1"/>
  <c r="G77" i="1"/>
  <c r="H77" i="1" s="1"/>
  <c r="G76" i="1"/>
  <c r="H31" i="1" l="1"/>
  <c r="H51" i="1"/>
  <c r="F82" i="1"/>
  <c r="F69" i="1"/>
  <c r="H69" i="1" s="1"/>
  <c r="F71" i="1"/>
  <c r="H71" i="1" s="1"/>
  <c r="F70" i="1"/>
  <c r="H70" i="1" s="1"/>
  <c r="H82" i="1"/>
  <c r="F72" i="1"/>
  <c r="F68" i="1" s="1"/>
  <c r="H68" i="1" s="1"/>
  <c r="F67" i="1"/>
  <c r="F66" i="1"/>
  <c r="H66" i="1" s="1"/>
  <c r="H73" i="1"/>
  <c r="H72" i="1"/>
  <c r="H67" i="1"/>
  <c r="H65" i="1" l="1"/>
  <c r="H84" i="1" s="1"/>
  <c r="H83" i="1"/>
  <c r="H81" i="1"/>
  <c r="H80" i="1"/>
  <c r="H79" i="1"/>
  <c r="H78" i="1"/>
  <c r="H76" i="1"/>
  <c r="H75" i="1" l="1"/>
  <c r="H23" i="1"/>
  <c r="H22" i="1"/>
  <c r="H21" i="1"/>
  <c r="H20" i="1"/>
  <c r="F15" i="1"/>
  <c r="H16" i="1" l="1"/>
  <c r="H15" i="1"/>
  <c r="O10" i="3" l="1"/>
  <c r="P10" i="3" s="1"/>
  <c r="O11" i="3"/>
  <c r="P11" i="3" s="1"/>
  <c r="O12" i="3"/>
  <c r="P12" i="3"/>
  <c r="O5" i="3"/>
  <c r="P5" i="3" s="1"/>
  <c r="O6" i="3"/>
  <c r="P6" i="3" s="1"/>
  <c r="O4" i="3"/>
  <c r="P4" i="3" s="1"/>
  <c r="O16" i="3"/>
  <c r="P16" i="3" s="1"/>
  <c r="O17" i="3"/>
  <c r="P17" i="3" s="1"/>
  <c r="O15" i="3"/>
  <c r="P15" i="3" s="1"/>
  <c r="H14" i="1" l="1"/>
  <c r="H85" i="1" l="1"/>
  <c r="H86" i="1" s="1"/>
</calcChain>
</file>

<file path=xl/sharedStrings.xml><?xml version="1.0" encoding="utf-8"?>
<sst xmlns="http://schemas.openxmlformats.org/spreadsheetml/2006/main" count="348" uniqueCount="200">
  <si>
    <t>ITEM</t>
  </si>
  <si>
    <t>DESCRIÇÃO DOS SERVIÇOS</t>
  </si>
  <si>
    <t>UNID.</t>
  </si>
  <si>
    <t>QUANT.</t>
  </si>
  <si>
    <t>UNITÁRIO</t>
  </si>
  <si>
    <t>TOTAL</t>
  </si>
  <si>
    <t>S   U   B   -   T   O   T   A   L</t>
  </si>
  <si>
    <t>1.1</t>
  </si>
  <si>
    <t>1.2</t>
  </si>
  <si>
    <t>2.1</t>
  </si>
  <si>
    <t>2.2</t>
  </si>
  <si>
    <t>3.1</t>
  </si>
  <si>
    <t>TOTAL SEM BDI</t>
  </si>
  <si>
    <t>TOTAL COM BDI</t>
  </si>
  <si>
    <t>SERVIÇO:</t>
  </si>
  <si>
    <t>MUNICÍPIO:</t>
  </si>
  <si>
    <t>LOCALIDADE:</t>
  </si>
  <si>
    <t>PLANILHA DE ORÇAMENTO</t>
  </si>
  <si>
    <t>ORÇAM. REFEÊNCIA</t>
  </si>
  <si>
    <t>PADRÃO</t>
  </si>
  <si>
    <t>CÓD</t>
  </si>
  <si>
    <t>PREÇO (R$)</t>
  </si>
  <si>
    <t>UTE:</t>
  </si>
  <si>
    <t>SINAPI</t>
  </si>
  <si>
    <t>FOSSA SÉPTICA PARA 5 HABITANTES:</t>
  </si>
  <si>
    <t>ESCAVAÇÃO MANUAL ATÉ  1,50 m</t>
  </si>
  <si>
    <t>QTDE</t>
  </si>
  <si>
    <t>R$</t>
  </si>
  <si>
    <t>UN.</t>
  </si>
  <si>
    <t>M³</t>
  </si>
  <si>
    <t>LIMPEZA MANUAL GERAL COM REMOCAO DE COBERTURA VEGETAL</t>
  </si>
  <si>
    <t>M²</t>
  </si>
  <si>
    <t>PREENCHIMENTO LATERAL COM AREIA E = 20 CM</t>
  </si>
  <si>
    <t xml:space="preserve">FORNECIMENTO DE TANQUE SÉPTICO VOL = 1.935 l </t>
  </si>
  <si>
    <t>FORNECIMENTO DE RAFA VOL = 1.280 l</t>
  </si>
  <si>
    <t>FORNECIMENTO DE SUMIDOURO EM CONCRETO</t>
  </si>
  <si>
    <t>ASSENTAMENTO DE PEÇAS DE CONCRETO</t>
  </si>
  <si>
    <t>3.2</t>
  </si>
  <si>
    <t>ESGOTAMENTO SANITÁRIO</t>
  </si>
  <si>
    <t>BDI ADOTADO</t>
  </si>
  <si>
    <t>(ESTIMADO EM 26% PARA OBRAS DE SANEAMENTO)</t>
  </si>
  <si>
    <t>SERVIÇOS PRELIMINARES</t>
  </si>
  <si>
    <t>2.3</t>
  </si>
  <si>
    <t>DE</t>
  </si>
  <si>
    <t>DI</t>
  </si>
  <si>
    <t>H</t>
  </si>
  <si>
    <t>VOLUME</t>
  </si>
  <si>
    <t>areia</t>
  </si>
  <si>
    <t>Escavação</t>
  </si>
  <si>
    <t>regularização</t>
  </si>
  <si>
    <t>ÁREA</t>
  </si>
  <si>
    <t>1.4</t>
  </si>
  <si>
    <t xml:space="preserve">   </t>
  </si>
  <si>
    <t>1.5</t>
  </si>
  <si>
    <t>1.6</t>
  </si>
  <si>
    <t>M</t>
  </si>
  <si>
    <t>OBRA</t>
  </si>
  <si>
    <t>PLACAS DE SINALIZAÇÃO, (DISTÂNCIA DE OBRAS), - FORNECIMENTO E MOVIMENTAÇÃO</t>
  </si>
  <si>
    <t>UN</t>
  </si>
  <si>
    <t>LOCAÇÃO DE ESTRUTURAS (GABARITO/TABEIRA) - OBRAS</t>
  </si>
  <si>
    <t>KG</t>
  </si>
  <si>
    <t>CONCRETO ESTRUTURAL (FCK = 30 MPA) - PREPARO EM BETONEIRA</t>
  </si>
  <si>
    <t>ESTRADAS DE ACESSO INCLUINDO ENCASCALHAMENTO DE PISTA</t>
  </si>
  <si>
    <t>LIMPEZA DO TERRENO - DESMATAMENTO E LIMPEZA MECÂNICA</t>
  </si>
  <si>
    <t>CALÇAMENTO EM BRITA, E = 5 CM</t>
  </si>
  <si>
    <t>SERVIÇOS COMPLEMENTARES</t>
  </si>
  <si>
    <t>SERVIÇOS</t>
  </si>
  <si>
    <t>BARRACAO DE OBRA PARA ALOJAMENTO/ESCRITORIO, PISO EM PINHO 3A, PAREDES EM COMPENSADO 10MM, COBERTURA EM TELHA AMIANTO 6MM, INCLUSO INSTALACOES ELETRICAS E ESQUADRIAS</t>
  </si>
  <si>
    <t>4813</t>
  </si>
  <si>
    <t>34723</t>
  </si>
  <si>
    <t>73805/001</t>
  </si>
  <si>
    <t>PLACA DE OBRA (PARA CONSTRUCAO CIVIL) EM CHAPA GALVANIZADA *N. 22*, DE *2,0 X 1,125* M</t>
  </si>
  <si>
    <t>ENTRADA PROVISORIA DE ENERGIA ELETRICA AEREA TRIFASICA</t>
  </si>
  <si>
    <t>73822/2</t>
  </si>
  <si>
    <t xml:space="preserve">85172 </t>
  </si>
  <si>
    <t>ALAMBRADO EM MOUROES DE CONCRETO "T", ALTURA LIVRE 2M, ESPACADOS A CADA 2M, COM TELA DE ARAME GALVANIZADO, FIO 14 BWG E MALHA QUADRADA 5X5CM</t>
  </si>
  <si>
    <t>85189</t>
  </si>
  <si>
    <t>PORTAO EM TUBO DE ACO GALVANIZADO DIN 2440/NBR 5580, PAINEL UNICO, DIMENSOES 4,0X1,2M, INCLUSIVE CADEADO</t>
  </si>
  <si>
    <t xml:space="preserve">74236/1 </t>
  </si>
  <si>
    <t>PLANTIO DE GRAMA BATATAIS EM PLACAS - URBANIZAÇÃO.</t>
  </si>
  <si>
    <t>10541</t>
  </si>
  <si>
    <t xml:space="preserve">CANALETAS DE CONCRETO, DIÂMETRO = 300 MM </t>
  </si>
  <si>
    <t>5651</t>
  </si>
  <si>
    <t>73710</t>
  </si>
  <si>
    <t>CONCRETO MAGRO PARA LASTRO, TRAÇO 1:4,5:4,5 (CIMENTO/ AREIA MÉDIA/ BRITA 1) - PREPARO MECÂNICO COM BETONEIRA 600 L.</t>
  </si>
  <si>
    <t>ARMADURA DE AÇO CA 60, DOBRADO E CORTADO</t>
  </si>
  <si>
    <t>73992/1</t>
  </si>
  <si>
    <t xml:space="preserve"> 94968</t>
  </si>
  <si>
    <t>34460</t>
  </si>
  <si>
    <t>38409</t>
  </si>
  <si>
    <t>COPASA</t>
  </si>
  <si>
    <t>65001718</t>
  </si>
  <si>
    <t xml:space="preserve">INSTALACOES ELETRICAS P/ CANTEIRO DE OBRAS </t>
  </si>
  <si>
    <t>3.3</t>
  </si>
  <si>
    <t>70323023</t>
  </si>
  <si>
    <t>INSTALAÇÕES ELÉTRICAS PARA ETE, COMPREENDENDO: INSTALAÇÃO DE FORÇA, CONTROLE, ILUMINAÇÃO, SISTEMA DE PROTEÇÃO CONTRA DESCARGAS ATMOSFÉRICAS, INCLUSIVE FORNECIMENTO DE TODOS OS MATERIAIS E MÃO-DE-OBRA NECESSÁRIOS</t>
  </si>
  <si>
    <r>
      <t xml:space="preserve">REFERÊNCIA DO ORÇAMENTO: </t>
    </r>
    <r>
      <rPr>
        <sz val="11"/>
        <color theme="1"/>
        <rFont val="Arial"/>
        <family val="2"/>
      </rPr>
      <t>SINAPI JANEIRO 2017 (NÃO DESONERADO)</t>
    </r>
  </si>
  <si>
    <t>ETE - PRÉ FABRICADA</t>
  </si>
  <si>
    <t>MERCADO</t>
  </si>
  <si>
    <t xml:space="preserve"> 83344</t>
  </si>
  <si>
    <t>ESPALHAMENTOS DE SOLO EM BOTA FORA</t>
  </si>
  <si>
    <t xml:space="preserve">FORMA EM TÁBUA P/ ESTRUTURAS </t>
  </si>
  <si>
    <t>DESFORMAS DE ESTRUTURAS, ALTURA OU PROFUNDIDADE ATÉ 1,50 M</t>
  </si>
  <si>
    <t>84863</t>
  </si>
  <si>
    <t>GUARDA CORPO C/ CORRIMÃO, TUBO AÇO GALVANIZADO, DIÂMETRO = 3/4"</t>
  </si>
  <si>
    <t>HIDROSUL</t>
  </si>
  <si>
    <t>1.3</t>
  </si>
  <si>
    <t>REDE COLETORA</t>
  </si>
  <si>
    <t>MOVIMENTO DE TERRA</t>
  </si>
  <si>
    <t>ESCAVAÇÃO DE VALAS</t>
  </si>
  <si>
    <t xml:space="preserve">90082 </t>
  </si>
  <si>
    <t>2.1.1</t>
  </si>
  <si>
    <t xml:space="preserve">ESCAVAÇÃO MECANIZADA DE VALA COM PROF. ATÉ 1,5 M (MÉDIA ENTRE MONTANTE E JUSANTE/UMA COMPOSIÇÃO POR TRECHO), COM ESCAVADEIRA HIDRÁULICA (0,8 M3/111 HP), EM SOLO DE 1A CATEGORIA, EM LOCAIS COM ALTO NÍVEL DE INTERFERÊNCIA. </t>
  </si>
  <si>
    <t>m³</t>
  </si>
  <si>
    <t>93374</t>
  </si>
  <si>
    <t>2.1.2</t>
  </si>
  <si>
    <t>REATERRO MECANIZADO DE VALA COM RETROESCAVADEIRA (CAPACIDADE DA CAÇAMBA DA RETRO: POTÊNCIA: 88 HP), LARGURA ATÉ 0,8 M, PROFUNDIDADE ATÉ 1,5 M, COM SOLO (SEM SUBSTITUIÇÃO) DE 1ª CATEGORIA EM LOCAIS COM ALTO NÍVEL DE INTERFERÊNCIA</t>
  </si>
  <si>
    <t>94097</t>
  </si>
  <si>
    <t>2.1.3</t>
  </si>
  <si>
    <t>PREPARO DE FUNDO DE VALA COM LARGURA MENOR QUE 1,5 M, EM LOCAL COM NÍVEL BAIXO DE INTERFERÊNCIA</t>
  </si>
  <si>
    <t>m²</t>
  </si>
  <si>
    <t>94037</t>
  </si>
  <si>
    <t>2.1.4</t>
  </si>
  <si>
    <t>ESCORAMENTO DE VALA, TIPO PONTALETEAMENTO, COM PROFUNDIDADE DE 0 A 1,5 M, LARGURA MENOR QUE 1,5 M, EM LOCAL COM NÍVEL ALTO DE INTERFERÊNCIA.</t>
  </si>
  <si>
    <t>PAVIMENTAÇÃO</t>
  </si>
  <si>
    <t xml:space="preserve">DEMOLIÇÃO DE PAVIMENTAÇÃO ASFÁLTICA </t>
  </si>
  <si>
    <t>92970</t>
  </si>
  <si>
    <t>2.2.1</t>
  </si>
  <si>
    <t>DEMOLIÇÃO DE PAVIMENTAÇÃO ASFÁLTICA COM UTILIZAÇÃO DE MARTELO PERFURADOR, ESPESSURA ATÉ 15 cm, EXCLUSIVE CARGA E TRANSPORTE.</t>
  </si>
  <si>
    <t>72898</t>
  </si>
  <si>
    <t>2.2.2</t>
  </si>
  <si>
    <t>CARGA E DESCARGA MECANIZADAS DE ENTULHO EM CAMINHAO BASCULANTE 6 m³</t>
  </si>
  <si>
    <t>72887</t>
  </si>
  <si>
    <t>2.2.3</t>
  </si>
  <si>
    <t>TRANSPORTE COMERCIAL COM CAMINHAO BASCULANTE 6 m³, RODOVIA PAVIMENTADA</t>
  </si>
  <si>
    <t>m³ x km</t>
  </si>
  <si>
    <t>RECOMPOSIÇÃO DE PAVIMENTAÇÃO ASFÁLTICA</t>
  </si>
  <si>
    <t>72961</t>
  </si>
  <si>
    <t>2.2.4</t>
  </si>
  <si>
    <t>REGULARIZACAO E COMPACTACAO DE SUBLEITO ATE 20 cm DE ESPESSURA</t>
  </si>
  <si>
    <t>72945</t>
  </si>
  <si>
    <t>2.2.5</t>
  </si>
  <si>
    <t>IMPRIMACAO DE BASE DE PAVIMENTACAO COM EMULSAO CM-30</t>
  </si>
  <si>
    <t>72943</t>
  </si>
  <si>
    <t>2.2.6</t>
  </si>
  <si>
    <t>PINTURA DE LIGACAO COM EMULSAO RR-2C</t>
  </si>
  <si>
    <t xml:space="preserve">95995 </t>
  </si>
  <si>
    <t>2.2.7</t>
  </si>
  <si>
    <t>CONSTRUÇÃO DE PAVIMENTO COM APLICAÇÃO DE CONCRETO BETUMINOSO USINADO A QUENTE (CBUQ)</t>
  </si>
  <si>
    <t>MATERIAIS - REDE COLETORA</t>
  </si>
  <si>
    <t>90734</t>
  </si>
  <si>
    <t>2.3.1</t>
  </si>
  <si>
    <t>ASSENTAMENTO DE TUBOS DE PVC PARA REDE COLETORA DE ESGOTO</t>
  </si>
  <si>
    <t>m</t>
  </si>
  <si>
    <t>38032</t>
  </si>
  <si>
    <t>2.3.2</t>
  </si>
  <si>
    <t>TUBO PVC DN 150 P/ REDE COLETORA ESGOTO</t>
  </si>
  <si>
    <t>INTERCEPTOR</t>
  </si>
  <si>
    <t>3.1.1</t>
  </si>
  <si>
    <t>3.1.2</t>
  </si>
  <si>
    <t>3.1.3</t>
  </si>
  <si>
    <t>3.1.4</t>
  </si>
  <si>
    <t>3.2.1</t>
  </si>
  <si>
    <t>3.2.2</t>
  </si>
  <si>
    <t>3.2.3</t>
  </si>
  <si>
    <t>3.2.4</t>
  </si>
  <si>
    <t>3.2.5</t>
  </si>
  <si>
    <t>3.2.6</t>
  </si>
  <si>
    <t>3.2.7</t>
  </si>
  <si>
    <t>MATERIAIS - INTERCEPTOR</t>
  </si>
  <si>
    <t>3.3.1</t>
  </si>
  <si>
    <t>3.3.2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</si>
  <si>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</si>
  <si>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</si>
  <si>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</si>
  <si>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</si>
  <si>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</si>
  <si>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</si>
  <si>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</si>
  <si>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</si>
  <si>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</si>
  <si>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</si>
  <si>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</si>
  <si>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</si>
  <si>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</si>
  <si>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</si>
  <si>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</si>
  <si>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</si>
  <si>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13244</t>
  </si>
  <si>
    <t>CONES DE SINALIZAÇÃO, CONFORME PROJETO -FORNECIMENTO E MOVIMENTAÇÃO</t>
  </si>
  <si>
    <t>74221/1</t>
  </si>
  <si>
    <t>SINALIZAÇÃO NOTURNA - FORNECIMENTO E INSTALAÇÃO</t>
  </si>
  <si>
    <t>37524</t>
  </si>
  <si>
    <t>TELA PLASTICA LARANJA, TIPO TAPUME PARA SINALIZACAO, MALHA RETANGULAR, ROLO 1.20 X 50 M (L X C)</t>
  </si>
  <si>
    <t>1.7</t>
  </si>
  <si>
    <t>1.8</t>
  </si>
  <si>
    <t>1.9</t>
  </si>
  <si>
    <t>ETE COM A CAPACIDADE DE 10,5l/s PRÉ-FABRICADA</t>
  </si>
  <si>
    <t>BALDIM</t>
  </si>
  <si>
    <t>SEDE URBANA  DE BALDIM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</si>
</sst>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[$€]#,##0.00\ ;[$€]\(#,##0.00\);[$€]\-#\ 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166" fontId="1" fillId="0" borderId="0" applyFill="0" applyBorder="0" applyAlignment="0" applyProtection="0"/>
    <xf numFmtId="164" fontId="2" fillId="0" borderId="0" applyFill="0" applyBorder="0" applyAlignment="0" applyProtection="0"/>
    <xf numFmtId="167" fontId="1" fillId="0" borderId="0" applyFill="0" applyAlignment="0" applyProtection="0"/>
    <xf numFmtId="164" fontId="5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ill="0" applyBorder="0" applyAlignment="0" applyProtection="0"/>
    <xf numFmtId="9" fontId="1" fillId="0" borderId="0" applyFill="0" applyBorder="0" applyAlignment="0" applyProtection="0"/>
    <xf numFmtId="166" fontId="1" fillId="0" borderId="0" applyFill="0" applyBorder="0" applyAlignment="0" applyProtection="0"/>
    <xf numFmtId="166" fontId="4" fillId="0" borderId="0" applyFill="0" applyBorder="0" applyAlignment="0" applyProtection="0"/>
    <xf numFmtId="165" fontId="1" fillId="0" borderId="0" applyFont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0" fontId="1" fillId="0" borderId="0" applyFill="0" applyAlignment="0" applyProtection="0"/>
    <xf numFmtId="0" fontId="1" fillId="0" borderId="0" applyFill="0" applyAlignment="0" applyProtection="0"/>
  </cellStyleXfs>
  <cellXfs count="114">
    <xf numFmtId="0" fontId="0" fillId="0" borderId="0" xfId="0"/>
    <xf numFmtId="4" fontId="9" fillId="0" borderId="2" xfId="2" applyNumberFormat="1" applyFont="1" applyFill="1" applyBorder="1" applyAlignment="1" applyProtection="1">
      <alignment vertical="center"/>
      <protection locked="0"/>
    </xf>
    <xf numFmtId="4" fontId="9" fillId="3" borderId="2" xfId="2" applyNumberFormat="1" applyFont="1" applyFill="1" applyBorder="1" applyAlignment="1" applyProtection="1">
      <alignment vertical="center"/>
      <protection locked="0"/>
    </xf>
    <xf numFmtId="0" fontId="9" fillId="0" borderId="2" xfId="1" applyFont="1" applyBorder="1" applyAlignment="1" applyProtection="1">
      <alignment vertical="center"/>
      <protection locked="0"/>
    </xf>
    <xf numFmtId="0" fontId="9" fillId="0" borderId="2" xfId="1" applyNumberFormat="1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/>
    <xf numFmtId="0" fontId="6" fillId="0" borderId="11" xfId="0" applyFont="1" applyBorder="1"/>
    <xf numFmtId="0" fontId="7" fillId="0" borderId="10" xfId="0" applyFont="1" applyBorder="1" applyAlignment="1"/>
    <xf numFmtId="0" fontId="7" fillId="0" borderId="0" xfId="0" applyFont="1" applyBorder="1" applyAlignment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" xfId="0" applyFont="1" applyBorder="1"/>
    <xf numFmtId="0" fontId="6" fillId="0" borderId="16" xfId="0" applyFont="1" applyBorder="1"/>
    <xf numFmtId="0" fontId="7" fillId="0" borderId="10" xfId="0" applyFont="1" applyBorder="1"/>
    <xf numFmtId="0" fontId="7" fillId="0" borderId="12" xfId="0" applyFont="1" applyBorder="1" applyAlignment="1"/>
    <xf numFmtId="0" fontId="7" fillId="0" borderId="13" xfId="0" applyFont="1" applyBorder="1" applyAlignment="1"/>
    <xf numFmtId="0" fontId="3" fillId="4" borderId="23" xfId="1" applyFont="1" applyFill="1" applyBorder="1" applyAlignment="1" applyProtection="1">
      <alignment horizontal="center" vertical="center"/>
      <protection locked="0"/>
    </xf>
    <xf numFmtId="166" fontId="3" fillId="4" borderId="24" xfId="2" applyFont="1" applyFill="1" applyBorder="1" applyAlignment="1" applyProtection="1">
      <alignment horizontal="center" vertical="center"/>
    </xf>
    <xf numFmtId="4" fontId="9" fillId="0" borderId="24" xfId="2" applyNumberFormat="1" applyFont="1" applyFill="1" applyBorder="1" applyAlignment="1" applyProtection="1">
      <alignment vertical="center"/>
    </xf>
    <xf numFmtId="4" fontId="10" fillId="2" borderId="24" xfId="2" applyNumberFormat="1" applyFont="1" applyFill="1" applyBorder="1" applyAlignment="1" applyProtection="1">
      <alignment vertical="center"/>
    </xf>
    <xf numFmtId="4" fontId="10" fillId="2" borderId="27" xfId="2" applyNumberFormat="1" applyFont="1" applyFill="1" applyBorder="1" applyAlignment="1" applyProtection="1">
      <alignment vertical="center"/>
    </xf>
    <xf numFmtId="4" fontId="9" fillId="0" borderId="24" xfId="2" quotePrefix="1" applyNumberFormat="1" applyFont="1" applyFill="1" applyBorder="1" applyAlignment="1" applyProtection="1">
      <alignment vertical="center"/>
    </xf>
    <xf numFmtId="49" fontId="9" fillId="0" borderId="2" xfId="1" applyNumberFormat="1" applyFont="1" applyFill="1" applyBorder="1" applyAlignment="1" applyProtection="1">
      <alignment horizontal="center" vertical="center"/>
      <protection locked="0"/>
    </xf>
    <xf numFmtId="49" fontId="9" fillId="0" borderId="25" xfId="1" applyNumberFormat="1" applyFont="1" applyFill="1" applyBorder="1" applyAlignment="1" applyProtection="1">
      <alignment horizontal="center" vertical="center"/>
      <protection locked="0"/>
    </xf>
    <xf numFmtId="0" fontId="10" fillId="5" borderId="2" xfId="1" applyFont="1" applyFill="1" applyBorder="1" applyAlignment="1" applyProtection="1">
      <alignment horizontal="left" vertical="center"/>
      <protection locked="0"/>
    </xf>
    <xf numFmtId="0" fontId="10" fillId="5" borderId="2" xfId="1" applyFont="1" applyFill="1" applyBorder="1" applyAlignment="1">
      <alignment vertical="center"/>
    </xf>
    <xf numFmtId="4" fontId="10" fillId="5" borderId="24" xfId="2" applyNumberFormat="1" applyFont="1" applyFill="1" applyBorder="1" applyAlignment="1" applyProtection="1">
      <alignment vertical="center"/>
    </xf>
    <xf numFmtId="49" fontId="10" fillId="5" borderId="2" xfId="1" applyNumberFormat="1" applyFont="1" applyFill="1" applyBorder="1" applyAlignment="1" applyProtection="1">
      <alignment horizontal="center" vertical="center"/>
      <protection locked="0"/>
    </xf>
    <xf numFmtId="0" fontId="9" fillId="0" borderId="2" xfId="1" applyNumberFormat="1" applyFont="1" applyFill="1" applyBorder="1" applyAlignment="1">
      <alignment horizontal="justify" vertical="center" wrapText="1"/>
    </xf>
    <xf numFmtId="49" fontId="10" fillId="5" borderId="25" xfId="1" applyNumberFormat="1" applyFont="1" applyFill="1" applyBorder="1" applyAlignment="1" applyProtection="1">
      <alignment horizontal="center" vertical="center"/>
      <protection locked="0"/>
    </xf>
    <xf numFmtId="0" fontId="9" fillId="0" borderId="2" xfId="1" applyFont="1" applyFill="1" applyBorder="1" applyAlignment="1">
      <alignment horizontal="justify" vertical="justify" wrapText="1"/>
    </xf>
    <xf numFmtId="0" fontId="10" fillId="2" borderId="26" xfId="1" applyNumberFormat="1" applyFont="1" applyFill="1" applyBorder="1" applyAlignment="1">
      <alignment vertical="center"/>
    </xf>
    <xf numFmtId="0" fontId="3" fillId="4" borderId="2" xfId="1" applyFont="1" applyFill="1" applyBorder="1" applyAlignment="1" applyProtection="1">
      <alignment horizontal="center" vertical="center"/>
      <protection locked="0"/>
    </xf>
    <xf numFmtId="0" fontId="10" fillId="2" borderId="5" xfId="1" applyNumberFormat="1" applyFont="1" applyFill="1" applyBorder="1" applyAlignment="1">
      <alignment vertical="center"/>
    </xf>
    <xf numFmtId="0" fontId="3" fillId="4" borderId="6" xfId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2" fontId="0" fillId="0" borderId="0" xfId="0" applyNumberFormat="1"/>
    <xf numFmtId="0" fontId="11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 vertical="justify"/>
    </xf>
    <xf numFmtId="0" fontId="6" fillId="0" borderId="13" xfId="0" applyFont="1" applyBorder="1" applyAlignment="1"/>
    <xf numFmtId="0" fontId="10" fillId="2" borderId="28" xfId="1" applyNumberFormat="1" applyFont="1" applyFill="1" applyBorder="1" applyAlignment="1">
      <alignment vertical="center"/>
    </xf>
    <xf numFmtId="0" fontId="10" fillId="2" borderId="30" xfId="1" applyNumberFormat="1" applyFont="1" applyFill="1" applyBorder="1" applyAlignment="1">
      <alignment vertical="center"/>
    </xf>
    <xf numFmtId="0" fontId="10" fillId="2" borderId="29" xfId="1" applyNumberFormat="1" applyFont="1" applyFill="1" applyBorder="1" applyAlignment="1">
      <alignment vertical="center"/>
    </xf>
    <xf numFmtId="0" fontId="10" fillId="2" borderId="31" xfId="1" applyNumberFormat="1" applyFont="1" applyFill="1" applyBorder="1" applyAlignment="1">
      <alignment vertical="center"/>
    </xf>
    <xf numFmtId="0" fontId="10" fillId="2" borderId="32" xfId="1" applyNumberFormat="1" applyFont="1" applyFill="1" applyBorder="1" applyAlignment="1">
      <alignment vertical="center"/>
    </xf>
    <xf numFmtId="0" fontId="10" fillId="2" borderId="4" xfId="1" applyNumberFormat="1" applyFont="1" applyFill="1" applyBorder="1" applyAlignment="1">
      <alignment vertical="center"/>
    </xf>
    <xf numFmtId="0" fontId="10" fillId="2" borderId="33" xfId="1" applyNumberFormat="1" applyFont="1" applyFill="1" applyBorder="1" applyAlignment="1">
      <alignment vertical="center"/>
    </xf>
    <xf numFmtId="4" fontId="10" fillId="2" borderId="34" xfId="2" applyNumberFormat="1" applyFont="1" applyFill="1" applyBorder="1" applyAlignment="1" applyProtection="1">
      <alignment vertical="center"/>
    </xf>
    <xf numFmtId="0" fontId="0" fillId="7" borderId="0" xfId="0" applyFill="1"/>
    <xf numFmtId="0" fontId="0" fillId="7" borderId="0" xfId="0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7" borderId="0" xfId="0" applyNumberFormat="1" applyFill="1"/>
    <xf numFmtId="0" fontId="0" fillId="0" borderId="2" xfId="0" applyBorder="1" applyAlignment="1">
      <alignment horizontal="center"/>
    </xf>
    <xf numFmtId="0" fontId="0" fillId="7" borderId="2" xfId="0" applyFill="1" applyBorder="1"/>
    <xf numFmtId="0" fontId="0" fillId="7" borderId="2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/>
    <xf numFmtId="0" fontId="0" fillId="3" borderId="0" xfId="0" applyFill="1"/>
    <xf numFmtId="0" fontId="0" fillId="7" borderId="0" xfId="0" applyFill="1" applyAlignment="1">
      <alignment vertical="justify"/>
    </xf>
    <xf numFmtId="0" fontId="0" fillId="3" borderId="0" xfId="0" applyFill="1" applyAlignment="1">
      <alignment vertical="justify"/>
    </xf>
    <xf numFmtId="0" fontId="0" fillId="8" borderId="2" xfId="0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0" fillId="8" borderId="0" xfId="0" applyFill="1"/>
    <xf numFmtId="0" fontId="0" fillId="0" borderId="0" xfId="0" applyFill="1"/>
    <xf numFmtId="0" fontId="0" fillId="0" borderId="36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9" fillId="0" borderId="2" xfId="1" applyFont="1" applyFill="1" applyBorder="1" applyAlignment="1">
      <alignment vertical="center" wrapText="1"/>
    </xf>
    <xf numFmtId="0" fontId="9" fillId="0" borderId="2" xfId="1" applyFont="1" applyFill="1" applyBorder="1" applyAlignment="1">
      <alignment horizontal="justify" wrapText="1"/>
    </xf>
    <xf numFmtId="49" fontId="10" fillId="3" borderId="25" xfId="1" applyNumberFormat="1" applyFont="1" applyFill="1" applyBorder="1" applyAlignment="1" applyProtection="1">
      <alignment horizontal="center" vertical="center"/>
      <protection locked="0"/>
    </xf>
    <xf numFmtId="49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0" fillId="3" borderId="2" xfId="1" applyFont="1" applyFill="1" applyBorder="1" applyAlignment="1" applyProtection="1">
      <alignment horizontal="left" vertical="center"/>
      <protection locked="0"/>
    </xf>
    <xf numFmtId="0" fontId="10" fillId="3" borderId="2" xfId="1" applyFont="1" applyFill="1" applyBorder="1" applyAlignment="1">
      <alignment vertical="center"/>
    </xf>
    <xf numFmtId="0" fontId="10" fillId="3" borderId="3" xfId="1" applyNumberFormat="1" applyFont="1" applyFill="1" applyBorder="1" applyAlignment="1">
      <alignment vertical="center"/>
    </xf>
    <xf numFmtId="0" fontId="10" fillId="3" borderId="5" xfId="1" applyNumberFormat="1" applyFont="1" applyFill="1" applyBorder="1" applyAlignment="1">
      <alignment vertical="center"/>
    </xf>
    <xf numFmtId="4" fontId="10" fillId="3" borderId="24" xfId="2" applyNumberFormat="1" applyFont="1" applyFill="1" applyBorder="1" applyAlignment="1" applyProtection="1">
      <alignment vertical="center"/>
    </xf>
    <xf numFmtId="4" fontId="9" fillId="0" borderId="2" xfId="2" applyNumberFormat="1" applyFont="1" applyFill="1" applyBorder="1" applyAlignment="1" applyProtection="1">
      <alignment vertical="center"/>
    </xf>
    <xf numFmtId="49" fontId="10" fillId="6" borderId="25" xfId="1" applyNumberFormat="1" applyFont="1" applyFill="1" applyBorder="1" applyAlignment="1" applyProtection="1">
      <alignment horizontal="center" vertical="center"/>
      <protection locked="0"/>
    </xf>
    <xf numFmtId="0" fontId="10" fillId="3" borderId="2" xfId="1" applyFont="1" applyFill="1" applyBorder="1" applyAlignment="1">
      <alignment vertical="center" wrapText="1"/>
    </xf>
    <xf numFmtId="0" fontId="9" fillId="3" borderId="2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justify" vertical="center" wrapText="1"/>
    </xf>
    <xf numFmtId="0" fontId="9" fillId="3" borderId="2" xfId="1" applyFont="1" applyFill="1" applyBorder="1" applyAlignment="1">
      <alignment horizontal="justify" vertical="center" wrapText="1"/>
    </xf>
    <xf numFmtId="4" fontId="0" fillId="0" borderId="0" xfId="0" applyNumberFormat="1"/>
    <xf numFmtId="0" fontId="10" fillId="5" borderId="3" xfId="1" applyNumberFormat="1" applyFont="1" applyFill="1" applyBorder="1" applyAlignment="1">
      <alignment vertical="center"/>
    </xf>
    <xf numFmtId="0" fontId="10" fillId="5" borderId="5" xfId="1" applyNumberFormat="1" applyFont="1" applyFill="1" applyBorder="1" applyAlignment="1">
      <alignment vertical="center"/>
    </xf>
    <xf numFmtId="49" fontId="10" fillId="6" borderId="29" xfId="1" applyNumberFormat="1" applyFont="1" applyFill="1" applyBorder="1" applyAlignment="1" applyProtection="1">
      <alignment horizontal="center" vertical="center"/>
      <protection locked="0"/>
    </xf>
    <xf numFmtId="49" fontId="10" fillId="6" borderId="5" xfId="1" applyNumberFormat="1" applyFont="1" applyFill="1" applyBorder="1" applyAlignment="1" applyProtection="1">
      <alignment horizontal="center" vertical="center"/>
      <protection locked="0"/>
    </xf>
    <xf numFmtId="49" fontId="10" fillId="6" borderId="35" xfId="1" applyNumberFormat="1" applyFont="1" applyFill="1" applyBorder="1" applyAlignment="1" applyProtection="1">
      <alignment horizontal="center" vertical="center"/>
      <protection locked="0"/>
    </xf>
    <xf numFmtId="166" fontId="3" fillId="4" borderId="21" xfId="2" applyFont="1" applyFill="1" applyBorder="1" applyAlignment="1" applyProtection="1">
      <alignment horizontal="center"/>
    </xf>
    <xf numFmtId="166" fontId="3" fillId="4" borderId="22" xfId="2" applyFont="1" applyFill="1" applyBorder="1" applyAlignment="1" applyProtection="1">
      <alignment horizontal="center"/>
    </xf>
    <xf numFmtId="0" fontId="3" fillId="4" borderId="19" xfId="1" applyFont="1" applyFill="1" applyBorder="1" applyAlignment="1" applyProtection="1">
      <alignment horizontal="center" vertical="center"/>
      <protection locked="0"/>
    </xf>
    <xf numFmtId="0" fontId="3" fillId="4" borderId="2" xfId="1" applyFont="1" applyFill="1" applyBorder="1" applyAlignment="1" applyProtection="1">
      <alignment horizontal="center" vertical="center"/>
      <protection locked="0"/>
    </xf>
    <xf numFmtId="0" fontId="3" fillId="4" borderId="20" xfId="1" applyNumberFormat="1" applyFont="1" applyFill="1" applyBorder="1" applyAlignment="1" applyProtection="1">
      <alignment horizontal="center" vertical="center"/>
      <protection locked="0"/>
    </xf>
    <xf numFmtId="0" fontId="3" fillId="4" borderId="6" xfId="1" applyNumberFormat="1" applyFont="1" applyFill="1" applyBorder="1" applyAlignment="1" applyProtection="1">
      <alignment horizontal="center" vertical="center"/>
      <protection locked="0"/>
    </xf>
    <xf numFmtId="0" fontId="3" fillId="4" borderId="20" xfId="1" applyFont="1" applyFill="1" applyBorder="1" applyAlignment="1" applyProtection="1">
      <alignment horizontal="center" vertical="center"/>
      <protection locked="0"/>
    </xf>
    <xf numFmtId="0" fontId="3" fillId="4" borderId="6" xfId="1" applyFont="1" applyFill="1" applyBorder="1" applyAlignment="1" applyProtection="1">
      <alignment horizontal="center" vertical="center"/>
      <protection locked="0"/>
    </xf>
    <xf numFmtId="0" fontId="10" fillId="5" borderId="28" xfId="1" applyNumberFormat="1" applyFont="1" applyFill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4" borderId="17" xfId="1" applyFont="1" applyFill="1" applyBorder="1" applyAlignment="1" applyProtection="1">
      <alignment horizontal="center" vertical="center"/>
      <protection locked="0"/>
    </xf>
    <xf numFmtId="0" fontId="3" fillId="4" borderId="18" xfId="1" applyFont="1" applyFill="1" applyBorder="1" applyAlignment="1" applyProtection="1">
      <alignment horizontal="center" vertical="center"/>
      <protection locked="0"/>
    </xf>
    <xf numFmtId="0" fontId="0" fillId="7" borderId="0" xfId="0" applyFill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7" borderId="0" xfId="0" applyFill="1" applyAlignment="1">
      <alignment horizontal="left" vertical="top"/>
    </xf>
  </cellXfs>
  <cellStyles count="24">
    <cellStyle name="Euro" xfId="4"/>
    <cellStyle name="Moeda 2" xfId="3"/>
    <cellStyle name="Moeda 2 2" xfId="5"/>
    <cellStyle name="Normal" xfId="0" builtinId="0"/>
    <cellStyle name="Normal 2" xfId="6"/>
    <cellStyle name="Normal 2 3" xfId="7"/>
    <cellStyle name="Normal 3" xfId="8"/>
    <cellStyle name="Normal 4" xfId="9"/>
    <cellStyle name="Normal 5" xfId="10"/>
    <cellStyle name="Normal 6" xfId="11"/>
    <cellStyle name="Normal 7" xfId="12"/>
    <cellStyle name="Normal 8" xfId="1"/>
    <cellStyle name="Normal 88" xfId="13"/>
    <cellStyle name="Porcentagem 2" xfId="15"/>
    <cellStyle name="Porcentagem 3" xfId="14"/>
    <cellStyle name="Separador de milhares 2" xfId="16"/>
    <cellStyle name="Separador de milhares 2 2" xfId="17"/>
    <cellStyle name="Separador de milhares 3" xfId="18"/>
    <cellStyle name="Separador de milhares 4" xfId="19"/>
    <cellStyle name="Separador de milhares 5" xfId="20"/>
    <cellStyle name="Separador de milhares 6" xfId="21"/>
    <cellStyle name="Separador de milhares 7" xfId="22"/>
    <cellStyle name="Separador de milhares 8" xfId="23"/>
    <cellStyle name="Separador de milhares 9" xfId="2"/>
  </cellStyles>
  <dxfs count="0"/>
  <tableStyles count="0" defaultTableStyle="TableStyleMedium9" defaultPivotStyle="PivotStyleLight16"/>
  <colors>
    <mruColors>
      <color rgb="FFFF33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180975</xdr:rowOff>
    </xdr:from>
    <xdr:to>
      <xdr:col>1</xdr:col>
      <xdr:colOff>380999</xdr:colOff>
      <xdr:row>4</xdr:row>
      <xdr:rowOff>152400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180975"/>
          <a:ext cx="10763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0</xdr:row>
      <xdr:rowOff>114300</xdr:rowOff>
    </xdr:from>
    <xdr:to>
      <xdr:col>7</xdr:col>
      <xdr:colOff>409575</xdr:colOff>
      <xdr:row>4</xdr:row>
      <xdr:rowOff>142875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19925" y="114300"/>
          <a:ext cx="1247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68" zoomScale="90" zoomScaleNormal="90" workbookViewId="0">
      <selection activeCell="J76" sqref="J76"/>
    </sheetView>
  </sheetViews>
  <sheetFormatPr defaultRowHeight="15" x14ac:dyDescent="0.25"/>
  <cols>
    <col min="1" max="1" width="11.28515625" customWidth="1"/>
    <col min="2" max="2" width="11" customWidth="1"/>
    <col min="3" max="3" width="6.7109375" customWidth="1"/>
    <col min="4" max="4" width="62.85546875" customWidth="1"/>
    <col min="5" max="5" width="6.85546875" customWidth="1"/>
    <col min="7" max="7" width="12.5703125" customWidth="1"/>
    <col min="8" max="8" width="12.7109375" customWidth="1"/>
    <col min="9" max="9" width="21.5703125" customWidth="1"/>
  </cols>
  <sheetData>
    <row r="1" spans="1:9" x14ac:dyDescent="0.25">
      <c r="A1" s="5"/>
      <c r="B1" s="6"/>
      <c r="C1" s="6"/>
      <c r="D1" s="6"/>
      <c r="E1" s="6"/>
      <c r="F1" s="6"/>
      <c r="G1" s="6"/>
      <c r="H1" s="7"/>
    </row>
    <row r="2" spans="1:9" x14ac:dyDescent="0.25">
      <c r="A2" s="8"/>
      <c r="B2" s="9"/>
      <c r="C2" s="9"/>
      <c r="D2" s="9"/>
      <c r="E2" s="9"/>
      <c r="F2" s="9"/>
      <c r="G2" s="9"/>
      <c r="H2" s="10"/>
    </row>
    <row r="3" spans="1:9" ht="15" customHeight="1" x14ac:dyDescent="0.25">
      <c r="A3" s="8"/>
      <c r="B3" s="9"/>
      <c r="C3" s="106" t="s">
        <v>17</v>
      </c>
      <c r="D3" s="106"/>
      <c r="E3" s="106"/>
      <c r="F3" s="106"/>
      <c r="G3" s="9"/>
      <c r="H3" s="10"/>
    </row>
    <row r="4" spans="1:9" ht="15" customHeight="1" x14ac:dyDescent="0.25">
      <c r="A4" s="8"/>
      <c r="B4" s="9"/>
      <c r="C4" s="106"/>
      <c r="D4" s="106"/>
      <c r="E4" s="106"/>
      <c r="F4" s="106"/>
      <c r="G4" s="9"/>
      <c r="H4" s="10"/>
    </row>
    <row r="5" spans="1:9" x14ac:dyDescent="0.25">
      <c r="A5" s="15"/>
      <c r="B5" s="16"/>
      <c r="C5" s="16"/>
      <c r="D5" s="16"/>
      <c r="E5" s="16"/>
      <c r="F5" s="16"/>
      <c r="G5" s="16"/>
      <c r="H5" s="17"/>
    </row>
    <row r="6" spans="1:9" x14ac:dyDescent="0.25">
      <c r="A6" s="18" t="s">
        <v>22</v>
      </c>
      <c r="B6" s="9"/>
      <c r="C6" s="107"/>
      <c r="D6" s="107"/>
      <c r="E6" s="107"/>
      <c r="F6" s="107"/>
      <c r="G6" s="9"/>
      <c r="H6" s="10"/>
    </row>
    <row r="7" spans="1:9" x14ac:dyDescent="0.25">
      <c r="A7" s="11" t="s">
        <v>14</v>
      </c>
      <c r="B7" s="12"/>
      <c r="C7" s="108" t="s">
        <v>38</v>
      </c>
      <c r="D7" s="108"/>
      <c r="E7" s="108"/>
      <c r="F7" s="108"/>
      <c r="G7" s="9"/>
      <c r="H7" s="10"/>
    </row>
    <row r="8" spans="1:9" x14ac:dyDescent="0.25">
      <c r="A8" s="11" t="s">
        <v>15</v>
      </c>
      <c r="B8" s="12"/>
      <c r="C8" s="108" t="s">
        <v>198</v>
      </c>
      <c r="D8" s="108"/>
      <c r="E8" s="108"/>
      <c r="F8" s="108"/>
      <c r="G8" s="9"/>
      <c r="H8" s="10"/>
    </row>
    <row r="9" spans="1:9" x14ac:dyDescent="0.25">
      <c r="A9" s="11" t="s">
        <v>16</v>
      </c>
      <c r="B9" s="12"/>
      <c r="C9" s="108" t="s">
        <v>199</v>
      </c>
      <c r="D9" s="108"/>
      <c r="E9" s="108"/>
      <c r="F9" s="108"/>
      <c r="G9" s="9"/>
      <c r="H9" s="10"/>
    </row>
    <row r="10" spans="1:9" ht="15.75" thickBot="1" x14ac:dyDescent="0.3">
      <c r="A10" s="19" t="s">
        <v>96</v>
      </c>
      <c r="B10" s="20"/>
      <c r="C10" s="47"/>
      <c r="D10" s="47"/>
      <c r="E10" s="47"/>
      <c r="F10" s="47"/>
      <c r="G10" s="13"/>
      <c r="H10" s="14"/>
    </row>
    <row r="11" spans="1:9" x14ac:dyDescent="0.25">
      <c r="A11" s="109" t="s">
        <v>18</v>
      </c>
      <c r="B11" s="110"/>
      <c r="C11" s="99" t="s">
        <v>0</v>
      </c>
      <c r="D11" s="101" t="s">
        <v>1</v>
      </c>
      <c r="E11" s="103" t="s">
        <v>2</v>
      </c>
      <c r="F11" s="103" t="s">
        <v>3</v>
      </c>
      <c r="G11" s="97" t="s">
        <v>21</v>
      </c>
      <c r="H11" s="98"/>
      <c r="I11" s="74"/>
    </row>
    <row r="12" spans="1:9" x14ac:dyDescent="0.25">
      <c r="A12" s="21" t="s">
        <v>19</v>
      </c>
      <c r="B12" s="39" t="s">
        <v>20</v>
      </c>
      <c r="C12" s="100"/>
      <c r="D12" s="102"/>
      <c r="E12" s="104"/>
      <c r="F12" s="104"/>
      <c r="G12" s="37" t="s">
        <v>4</v>
      </c>
      <c r="H12" s="22" t="s">
        <v>5</v>
      </c>
      <c r="I12" s="73"/>
    </row>
    <row r="13" spans="1:9" ht="33" customHeight="1" x14ac:dyDescent="0.25">
      <c r="A13" s="94" t="s">
        <v>41</v>
      </c>
      <c r="B13" s="95"/>
      <c r="C13" s="95"/>
      <c r="D13" s="95"/>
      <c r="E13" s="95"/>
      <c r="F13" s="95"/>
      <c r="G13" s="95"/>
      <c r="H13" s="96"/>
      <c r="I13" s="75"/>
    </row>
    <row r="14" spans="1:9" x14ac:dyDescent="0.25">
      <c r="A14" s="34"/>
      <c r="B14" s="32"/>
      <c r="C14" s="29">
        <v>1</v>
      </c>
      <c r="D14" s="30" t="s">
        <v>56</v>
      </c>
      <c r="E14" s="92" t="s">
        <v>6</v>
      </c>
      <c r="F14" s="93"/>
      <c r="G14" s="93"/>
      <c r="H14" s="31">
        <f>SUM(H15:H23)</f>
        <v>92099.13</v>
      </c>
      <c r="I14" s="72"/>
    </row>
    <row r="15" spans="1:9" ht="24" x14ac:dyDescent="0.25">
      <c r="A15" s="28" t="s">
        <v>23</v>
      </c>
      <c r="B15" s="27" t="s">
        <v>68</v>
      </c>
      <c r="C15" s="3" t="s">
        <v>7</v>
      </c>
      <c r="D15" s="33" t="s">
        <v>71</v>
      </c>
      <c r="E15" s="4" t="s">
        <v>31</v>
      </c>
      <c r="F15" s="1">
        <f>2*1.125</f>
        <v>2.25</v>
      </c>
      <c r="G15" s="2">
        <v>240</v>
      </c>
      <c r="H15" s="26">
        <f t="shared" ref="H15:H19" si="0">G15*F15</f>
        <v>540</v>
      </c>
      <c r="I15" s="72"/>
    </row>
    <row r="16" spans="1:9" ht="24" x14ac:dyDescent="0.25">
      <c r="A16" s="28" t="s">
        <v>23</v>
      </c>
      <c r="B16" s="27" t="s">
        <v>69</v>
      </c>
      <c r="C16" s="3" t="s">
        <v>8</v>
      </c>
      <c r="D16" s="33" t="s">
        <v>57</v>
      </c>
      <c r="E16" s="4" t="s">
        <v>31</v>
      </c>
      <c r="F16" s="1">
        <f>3*4</f>
        <v>12</v>
      </c>
      <c r="G16" s="2">
        <v>554.4</v>
      </c>
      <c r="H16" s="26">
        <f t="shared" si="0"/>
        <v>6652.7999999999993</v>
      </c>
    </row>
    <row r="17" spans="1:9" ht="24" x14ac:dyDescent="0.25">
      <c r="A17" s="28" t="s">
        <v>23</v>
      </c>
      <c r="B17" s="27" t="s">
        <v>188</v>
      </c>
      <c r="C17" s="3" t="s">
        <v>106</v>
      </c>
      <c r="D17" s="33" t="s">
        <v>189</v>
      </c>
      <c r="E17" s="4" t="s">
        <v>58</v>
      </c>
      <c r="F17" s="1">
        <f>10*4</f>
        <v>40</v>
      </c>
      <c r="G17" s="2">
        <v>47.5</v>
      </c>
      <c r="H17" s="26">
        <f t="shared" si="0"/>
        <v>1900</v>
      </c>
      <c r="I17">
        <f>9785/2575</f>
        <v>3.8</v>
      </c>
    </row>
    <row r="18" spans="1:9" x14ac:dyDescent="0.25">
      <c r="A18" s="28" t="s">
        <v>23</v>
      </c>
      <c r="B18" s="27" t="s">
        <v>190</v>
      </c>
      <c r="C18" s="3" t="s">
        <v>51</v>
      </c>
      <c r="D18" s="33" t="s">
        <v>191</v>
      </c>
      <c r="E18" s="4" t="s">
        <v>58</v>
      </c>
      <c r="F18" s="1">
        <f>(9785/5)*2</f>
        <v>3914</v>
      </c>
      <c r="G18" s="2">
        <v>2.19</v>
      </c>
      <c r="H18" s="26">
        <f t="shared" si="0"/>
        <v>8571.66</v>
      </c>
    </row>
    <row r="19" spans="1:9" ht="24" x14ac:dyDescent="0.25">
      <c r="A19" s="28" t="s">
        <v>23</v>
      </c>
      <c r="B19" s="27" t="s">
        <v>192</v>
      </c>
      <c r="C19" s="3" t="s">
        <v>53</v>
      </c>
      <c r="D19" s="33" t="s">
        <v>193</v>
      </c>
      <c r="E19" s="4" t="s">
        <v>55</v>
      </c>
      <c r="F19" s="1">
        <f>9785*2</f>
        <v>19570</v>
      </c>
      <c r="G19" s="2">
        <v>1.55</v>
      </c>
      <c r="H19" s="26">
        <f t="shared" si="0"/>
        <v>30333.5</v>
      </c>
    </row>
    <row r="20" spans="1:9" ht="36" x14ac:dyDescent="0.25">
      <c r="A20" s="28" t="s">
        <v>23</v>
      </c>
      <c r="B20" s="27" t="s">
        <v>70</v>
      </c>
      <c r="C20" s="3" t="s">
        <v>54</v>
      </c>
      <c r="D20" s="33" t="s">
        <v>67</v>
      </c>
      <c r="E20" s="4" t="s">
        <v>58</v>
      </c>
      <c r="F20" s="1">
        <v>1</v>
      </c>
      <c r="G20" s="2">
        <v>36322</v>
      </c>
      <c r="H20" s="26">
        <f>G20*F20</f>
        <v>36322</v>
      </c>
    </row>
    <row r="21" spans="1:9" x14ac:dyDescent="0.25">
      <c r="A21" s="28" t="s">
        <v>23</v>
      </c>
      <c r="B21" s="27">
        <v>41598</v>
      </c>
      <c r="C21" s="3" t="s">
        <v>194</v>
      </c>
      <c r="D21" s="33" t="s">
        <v>72</v>
      </c>
      <c r="E21" s="4" t="s">
        <v>58</v>
      </c>
      <c r="F21" s="1">
        <v>1</v>
      </c>
      <c r="G21" s="2">
        <v>1092.49</v>
      </c>
      <c r="H21" s="26">
        <f>G21*F21</f>
        <v>1092.49</v>
      </c>
    </row>
    <row r="22" spans="1:9" x14ac:dyDescent="0.25">
      <c r="A22" s="28" t="s">
        <v>90</v>
      </c>
      <c r="B22" s="27" t="s">
        <v>91</v>
      </c>
      <c r="C22" s="3" t="s">
        <v>195</v>
      </c>
      <c r="D22" s="33" t="s">
        <v>92</v>
      </c>
      <c r="E22" s="4" t="s">
        <v>58</v>
      </c>
      <c r="F22" s="1">
        <v>1</v>
      </c>
      <c r="G22" s="2">
        <v>6290.68</v>
      </c>
      <c r="H22" s="26">
        <f>G22*F22</f>
        <v>6290.68</v>
      </c>
    </row>
    <row r="23" spans="1:9" x14ac:dyDescent="0.25">
      <c r="A23" s="28" t="s">
        <v>23</v>
      </c>
      <c r="B23" s="27" t="s">
        <v>73</v>
      </c>
      <c r="C23" s="3" t="s">
        <v>196</v>
      </c>
      <c r="D23" s="35" t="s">
        <v>63</v>
      </c>
      <c r="E23" s="4" t="s">
        <v>31</v>
      </c>
      <c r="F23" s="1">
        <v>825</v>
      </c>
      <c r="G23" s="1">
        <v>0.48</v>
      </c>
      <c r="H23" s="23">
        <f t="shared" ref="H23" si="1">G23*F23</f>
        <v>396</v>
      </c>
    </row>
    <row r="24" spans="1:9" ht="33" customHeight="1" x14ac:dyDescent="0.25">
      <c r="A24" s="94" t="s">
        <v>107</v>
      </c>
      <c r="B24" s="95"/>
      <c r="C24" s="95"/>
      <c r="D24" s="95"/>
      <c r="E24" s="95"/>
      <c r="F24" s="95"/>
      <c r="G24" s="95"/>
      <c r="H24" s="96"/>
    </row>
    <row r="25" spans="1:9" x14ac:dyDescent="0.25">
      <c r="A25" s="34"/>
      <c r="B25" s="32"/>
      <c r="C25" s="29">
        <v>2</v>
      </c>
      <c r="D25" s="30" t="s">
        <v>108</v>
      </c>
      <c r="E25" s="92" t="s">
        <v>6</v>
      </c>
      <c r="F25" s="93"/>
      <c r="G25" s="93"/>
      <c r="H25" s="31">
        <f>SUM(H27:H30)</f>
        <v>861740.48750000005</v>
      </c>
    </row>
    <row r="26" spans="1:9" x14ac:dyDescent="0.25">
      <c r="A26" s="78"/>
      <c r="B26" s="79"/>
      <c r="C26" s="80" t="s">
        <v>9</v>
      </c>
      <c r="D26" s="81" t="s">
        <v>109</v>
      </c>
      <c r="E26" s="82"/>
      <c r="F26" s="83"/>
      <c r="G26" s="83"/>
      <c r="H26" s="84"/>
    </row>
    <row r="27" spans="1:9" ht="52.5" customHeight="1" x14ac:dyDescent="0.25">
      <c r="A27" s="28" t="s">
        <v>23</v>
      </c>
      <c r="B27" s="27" t="s">
        <v>110</v>
      </c>
      <c r="C27" s="3" t="s">
        <v>111</v>
      </c>
      <c r="D27" s="33" t="s">
        <v>112</v>
      </c>
      <c r="E27" s="4" t="s">
        <v>113</v>
      </c>
      <c r="F27" s="1">
        <f>(9785*1.5*0.7)</f>
        <v>10274.25</v>
      </c>
      <c r="G27" s="2">
        <v>11.84</v>
      </c>
      <c r="H27" s="26">
        <f>F27*G27</f>
        <v>121647.12</v>
      </c>
    </row>
    <row r="28" spans="1:9" ht="48" x14ac:dyDescent="0.25">
      <c r="A28" s="28" t="s">
        <v>23</v>
      </c>
      <c r="B28" s="27" t="s">
        <v>114</v>
      </c>
      <c r="C28" s="3" t="s">
        <v>115</v>
      </c>
      <c r="D28" s="33" t="s">
        <v>116</v>
      </c>
      <c r="E28" s="4" t="s">
        <v>113</v>
      </c>
      <c r="F28" s="1">
        <f>F27*1.3</f>
        <v>13356.525</v>
      </c>
      <c r="G28" s="85">
        <v>18.5</v>
      </c>
      <c r="H28" s="26">
        <f>F28*G28</f>
        <v>247095.71249999999</v>
      </c>
    </row>
    <row r="29" spans="1:9" ht="24" x14ac:dyDescent="0.25">
      <c r="A29" s="28" t="s">
        <v>23</v>
      </c>
      <c r="B29" s="27" t="s">
        <v>117</v>
      </c>
      <c r="C29" s="3" t="s">
        <v>118</v>
      </c>
      <c r="D29" s="33" t="s">
        <v>119</v>
      </c>
      <c r="E29" s="4" t="s">
        <v>120</v>
      </c>
      <c r="F29" s="1">
        <f>9785*0.7</f>
        <v>6849.5</v>
      </c>
      <c r="G29" s="2">
        <v>4.3899999999999997</v>
      </c>
      <c r="H29" s="26">
        <f t="shared" ref="H29:H30" si="2">F29*G29</f>
        <v>30069.304999999997</v>
      </c>
    </row>
    <row r="30" spans="1:9" ht="36" x14ac:dyDescent="0.25">
      <c r="A30" s="28" t="s">
        <v>23</v>
      </c>
      <c r="B30" s="27" t="s">
        <v>121</v>
      </c>
      <c r="C30" s="3" t="s">
        <v>122</v>
      </c>
      <c r="D30" s="33" t="s">
        <v>123</v>
      </c>
      <c r="E30" s="4" t="s">
        <v>120</v>
      </c>
      <c r="F30" s="1">
        <f>1.5*9785*2</f>
        <v>29355</v>
      </c>
      <c r="G30" s="2">
        <v>15.77</v>
      </c>
      <c r="H30" s="26">
        <f t="shared" si="2"/>
        <v>462928.35</v>
      </c>
    </row>
    <row r="31" spans="1:9" x14ac:dyDescent="0.25">
      <c r="A31" s="86"/>
      <c r="B31" s="32"/>
      <c r="C31" s="29" t="s">
        <v>10</v>
      </c>
      <c r="D31" s="30" t="s">
        <v>124</v>
      </c>
      <c r="E31" s="92" t="s">
        <v>6</v>
      </c>
      <c r="F31" s="93"/>
      <c r="G31" s="93"/>
      <c r="H31" s="31">
        <f>SUM(H33:H40)</f>
        <v>476134.43062500004</v>
      </c>
    </row>
    <row r="32" spans="1:9" x14ac:dyDescent="0.25">
      <c r="A32" s="78"/>
      <c r="B32" s="79"/>
      <c r="C32" s="80" t="s">
        <v>10</v>
      </c>
      <c r="D32" s="81" t="s">
        <v>125</v>
      </c>
      <c r="E32" s="82"/>
      <c r="F32" s="83"/>
      <c r="G32" s="83"/>
      <c r="H32" s="84"/>
    </row>
    <row r="33" spans="1:9" ht="27.75" customHeight="1" x14ac:dyDescent="0.25">
      <c r="A33" s="28" t="s">
        <v>23</v>
      </c>
      <c r="B33" s="27" t="s">
        <v>126</v>
      </c>
      <c r="C33" s="3" t="s">
        <v>127</v>
      </c>
      <c r="D33" s="35" t="s">
        <v>128</v>
      </c>
      <c r="E33" s="4" t="s">
        <v>120</v>
      </c>
      <c r="F33" s="1">
        <f>9785*0.7</f>
        <v>6849.5</v>
      </c>
      <c r="G33" s="1">
        <v>9.61</v>
      </c>
      <c r="H33" s="26">
        <f>F33*G33</f>
        <v>65823.694999999992</v>
      </c>
    </row>
    <row r="34" spans="1:9" ht="24" x14ac:dyDescent="0.25">
      <c r="A34" s="28" t="s">
        <v>23</v>
      </c>
      <c r="B34" s="27" t="s">
        <v>129</v>
      </c>
      <c r="C34" s="3" t="s">
        <v>130</v>
      </c>
      <c r="D34" s="35" t="s">
        <v>131</v>
      </c>
      <c r="E34" s="4" t="s">
        <v>113</v>
      </c>
      <c r="F34" s="1">
        <f>F33*0.15*1.3</f>
        <v>1335.6524999999999</v>
      </c>
      <c r="G34" s="1">
        <v>3.35</v>
      </c>
      <c r="H34" s="26">
        <f t="shared" ref="H34:H40" si="3">F34*G34</f>
        <v>4474.4358750000001</v>
      </c>
    </row>
    <row r="35" spans="1:9" ht="24" x14ac:dyDescent="0.25">
      <c r="A35" s="28" t="s">
        <v>23</v>
      </c>
      <c r="B35" s="27" t="s">
        <v>132</v>
      </c>
      <c r="C35" s="3" t="s">
        <v>133</v>
      </c>
      <c r="D35" s="35" t="s">
        <v>134</v>
      </c>
      <c r="E35" s="4" t="s">
        <v>135</v>
      </c>
      <c r="F35" s="1">
        <f>F34*10</f>
        <v>13356.525</v>
      </c>
      <c r="G35" s="1">
        <v>0.87</v>
      </c>
      <c r="H35" s="26">
        <f t="shared" si="3"/>
        <v>11620.176749999999</v>
      </c>
    </row>
    <row r="36" spans="1:9" x14ac:dyDescent="0.25">
      <c r="A36" s="28"/>
      <c r="B36" s="27"/>
      <c r="C36" s="3"/>
      <c r="D36" s="87" t="s">
        <v>136</v>
      </c>
      <c r="E36" s="88"/>
      <c r="F36" s="1"/>
      <c r="G36" s="1"/>
      <c r="H36" s="26"/>
    </row>
    <row r="37" spans="1:9" ht="24" x14ac:dyDescent="0.25">
      <c r="A37" s="28" t="s">
        <v>23</v>
      </c>
      <c r="B37" s="27" t="s">
        <v>137</v>
      </c>
      <c r="C37" s="3" t="s">
        <v>138</v>
      </c>
      <c r="D37" s="89" t="s">
        <v>139</v>
      </c>
      <c r="E37" s="4" t="s">
        <v>120</v>
      </c>
      <c r="F37" s="1">
        <f>F33</f>
        <v>6849.5</v>
      </c>
      <c r="G37" s="1">
        <v>1.1100000000000001</v>
      </c>
      <c r="H37" s="26">
        <f t="shared" si="3"/>
        <v>7602.9450000000006</v>
      </c>
    </row>
    <row r="38" spans="1:9" x14ac:dyDescent="0.25">
      <c r="A38" s="28" t="s">
        <v>23</v>
      </c>
      <c r="B38" s="27" t="s">
        <v>140</v>
      </c>
      <c r="C38" s="3" t="s">
        <v>141</v>
      </c>
      <c r="D38" s="89" t="s">
        <v>142</v>
      </c>
      <c r="E38" s="4" t="s">
        <v>120</v>
      </c>
      <c r="F38" s="1">
        <f>F33</f>
        <v>6849.5</v>
      </c>
      <c r="G38" s="1">
        <v>4.78</v>
      </c>
      <c r="H38" s="26">
        <f t="shared" si="3"/>
        <v>32740.61</v>
      </c>
    </row>
    <row r="39" spans="1:9" x14ac:dyDescent="0.25">
      <c r="A39" s="28" t="s">
        <v>23</v>
      </c>
      <c r="B39" s="27" t="s">
        <v>143</v>
      </c>
      <c r="C39" s="3" t="s">
        <v>144</v>
      </c>
      <c r="D39" s="89" t="s">
        <v>145</v>
      </c>
      <c r="E39" s="4" t="s">
        <v>120</v>
      </c>
      <c r="F39" s="1">
        <f>F33</f>
        <v>6849.5</v>
      </c>
      <c r="G39" s="1">
        <v>1.32</v>
      </c>
      <c r="H39" s="26">
        <f t="shared" si="3"/>
        <v>9041.34</v>
      </c>
    </row>
    <row r="40" spans="1:9" ht="24" x14ac:dyDescent="0.25">
      <c r="A40" s="28" t="s">
        <v>23</v>
      </c>
      <c r="B40" s="27" t="s">
        <v>146</v>
      </c>
      <c r="C40" s="3" t="s">
        <v>147</v>
      </c>
      <c r="D40" s="90" t="s">
        <v>148</v>
      </c>
      <c r="E40" s="88" t="s">
        <v>113</v>
      </c>
      <c r="F40" s="2">
        <f>F33*0.07</f>
        <v>479.46500000000003</v>
      </c>
      <c r="G40" s="1">
        <v>719.2</v>
      </c>
      <c r="H40" s="26">
        <f t="shared" si="3"/>
        <v>344831.22800000006</v>
      </c>
    </row>
    <row r="41" spans="1:9" x14ac:dyDescent="0.25">
      <c r="A41" s="34"/>
      <c r="B41" s="32"/>
      <c r="C41" s="29" t="s">
        <v>42</v>
      </c>
      <c r="D41" s="30" t="s">
        <v>149</v>
      </c>
      <c r="E41" s="92" t="s">
        <v>6</v>
      </c>
      <c r="F41" s="93"/>
      <c r="G41" s="105"/>
      <c r="H41" s="31">
        <f>SUM(H42:H43)</f>
        <v>290810.2</v>
      </c>
    </row>
    <row r="42" spans="1:9" x14ac:dyDescent="0.25">
      <c r="A42" s="28" t="s">
        <v>23</v>
      </c>
      <c r="B42" s="27" t="s">
        <v>150</v>
      </c>
      <c r="C42" s="3" t="s">
        <v>151</v>
      </c>
      <c r="D42" s="33" t="s">
        <v>152</v>
      </c>
      <c r="E42" s="4" t="s">
        <v>153</v>
      </c>
      <c r="F42" s="1">
        <v>9785</v>
      </c>
      <c r="G42" s="2">
        <v>2.75</v>
      </c>
      <c r="H42" s="26">
        <f>G42*F42</f>
        <v>26908.75</v>
      </c>
    </row>
    <row r="43" spans="1:9" x14ac:dyDescent="0.25">
      <c r="A43" s="28" t="s">
        <v>23</v>
      </c>
      <c r="B43" s="27" t="s">
        <v>154</v>
      </c>
      <c r="C43" s="3" t="s">
        <v>155</v>
      </c>
      <c r="D43" s="33" t="s">
        <v>156</v>
      </c>
      <c r="E43" s="4" t="s">
        <v>153</v>
      </c>
      <c r="F43" s="1">
        <f>F42</f>
        <v>9785</v>
      </c>
      <c r="G43" s="2">
        <v>26.97</v>
      </c>
      <c r="H43" s="26">
        <f>G43*F43</f>
        <v>263901.45</v>
      </c>
    </row>
    <row r="44" spans="1:9" ht="33" customHeight="1" x14ac:dyDescent="0.25">
      <c r="A44" s="94" t="s">
        <v>157</v>
      </c>
      <c r="B44" s="95"/>
      <c r="C44" s="95"/>
      <c r="D44" s="95"/>
      <c r="E44" s="95"/>
      <c r="F44" s="95"/>
      <c r="G44" s="95"/>
      <c r="H44" s="96"/>
    </row>
    <row r="45" spans="1:9" x14ac:dyDescent="0.25">
      <c r="A45" s="34"/>
      <c r="B45" s="32"/>
      <c r="C45" s="29">
        <v>3</v>
      </c>
      <c r="D45" s="30" t="s">
        <v>108</v>
      </c>
      <c r="E45" s="92" t="s">
        <v>6</v>
      </c>
      <c r="F45" s="93"/>
      <c r="G45" s="93"/>
      <c r="H45" s="31">
        <f>SUM(H47:H50)</f>
        <v>176135</v>
      </c>
    </row>
    <row r="46" spans="1:9" x14ac:dyDescent="0.25">
      <c r="A46" s="78"/>
      <c r="B46" s="79"/>
      <c r="C46" s="80" t="s">
        <v>11</v>
      </c>
      <c r="D46" s="81" t="s">
        <v>109</v>
      </c>
      <c r="E46" s="82"/>
      <c r="F46" s="83"/>
      <c r="G46" s="83"/>
      <c r="H46" s="84"/>
    </row>
    <row r="47" spans="1:9" ht="52.5" customHeight="1" x14ac:dyDescent="0.25">
      <c r="A47" s="28" t="s">
        <v>23</v>
      </c>
      <c r="B47" s="27" t="s">
        <v>110</v>
      </c>
      <c r="C47" s="3" t="s">
        <v>158</v>
      </c>
      <c r="D47" s="33" t="s">
        <v>112</v>
      </c>
      <c r="E47" s="4" t="s">
        <v>113</v>
      </c>
      <c r="F47" s="1">
        <f>(2000*1.5*0.7)</f>
        <v>2100</v>
      </c>
      <c r="G47" s="2">
        <v>11.84</v>
      </c>
      <c r="H47" s="26">
        <f>F47*G47</f>
        <v>24864</v>
      </c>
      <c r="I47">
        <v>2000</v>
      </c>
    </row>
    <row r="48" spans="1:9" ht="48" x14ac:dyDescent="0.25">
      <c r="A48" s="28" t="s">
        <v>23</v>
      </c>
      <c r="B48" s="27" t="s">
        <v>114</v>
      </c>
      <c r="C48" s="3" t="s">
        <v>159</v>
      </c>
      <c r="D48" s="33" t="s">
        <v>116</v>
      </c>
      <c r="E48" s="4" t="s">
        <v>113</v>
      </c>
      <c r="F48" s="1">
        <f>F47*1.3</f>
        <v>2730</v>
      </c>
      <c r="G48" s="85">
        <v>18.5</v>
      </c>
      <c r="H48" s="26">
        <f>F48*G48</f>
        <v>50505</v>
      </c>
    </row>
    <row r="49" spans="1:8" ht="24" x14ac:dyDescent="0.25">
      <c r="A49" s="28" t="s">
        <v>23</v>
      </c>
      <c r="B49" s="27" t="s">
        <v>117</v>
      </c>
      <c r="C49" s="3" t="s">
        <v>160</v>
      </c>
      <c r="D49" s="33" t="s">
        <v>119</v>
      </c>
      <c r="E49" s="4" t="s">
        <v>120</v>
      </c>
      <c r="F49" s="1">
        <f>2000*0.7</f>
        <v>1400</v>
      </c>
      <c r="G49" s="2">
        <v>4.3899999999999997</v>
      </c>
      <c r="H49" s="26">
        <f t="shared" ref="H49:H50" si="4">F49*G49</f>
        <v>6146</v>
      </c>
    </row>
    <row r="50" spans="1:8" ht="36" x14ac:dyDescent="0.25">
      <c r="A50" s="28" t="s">
        <v>23</v>
      </c>
      <c r="B50" s="27" t="s">
        <v>121</v>
      </c>
      <c r="C50" s="3" t="s">
        <v>161</v>
      </c>
      <c r="D50" s="33" t="s">
        <v>123</v>
      </c>
      <c r="E50" s="4" t="s">
        <v>120</v>
      </c>
      <c r="F50" s="1">
        <f>1.5*2000*2</f>
        <v>6000</v>
      </c>
      <c r="G50" s="2">
        <v>15.77</v>
      </c>
      <c r="H50" s="26">
        <f t="shared" si="4"/>
        <v>94620</v>
      </c>
    </row>
    <row r="51" spans="1:8" x14ac:dyDescent="0.25">
      <c r="A51" s="86"/>
      <c r="B51" s="32"/>
      <c r="C51" s="29" t="s">
        <v>37</v>
      </c>
      <c r="D51" s="30" t="s">
        <v>124</v>
      </c>
      <c r="E51" s="92" t="s">
        <v>6</v>
      </c>
      <c r="F51" s="93"/>
      <c r="G51" s="93"/>
      <c r="H51" s="31">
        <f>SUM(H53:H60)</f>
        <v>97319.250000000015</v>
      </c>
    </row>
    <row r="52" spans="1:8" x14ac:dyDescent="0.25">
      <c r="A52" s="78"/>
      <c r="B52" s="79"/>
      <c r="C52" s="80" t="s">
        <v>37</v>
      </c>
      <c r="D52" s="81" t="s">
        <v>125</v>
      </c>
      <c r="E52" s="82"/>
      <c r="F52" s="83"/>
      <c r="G52" s="83"/>
      <c r="H52" s="84"/>
    </row>
    <row r="53" spans="1:8" ht="27.75" customHeight="1" x14ac:dyDescent="0.25">
      <c r="A53" s="28" t="s">
        <v>23</v>
      </c>
      <c r="B53" s="27" t="s">
        <v>126</v>
      </c>
      <c r="C53" s="3" t="s">
        <v>162</v>
      </c>
      <c r="D53" s="35" t="s">
        <v>128</v>
      </c>
      <c r="E53" s="4" t="s">
        <v>120</v>
      </c>
      <c r="F53" s="1">
        <f>2000*0.7</f>
        <v>1400</v>
      </c>
      <c r="G53" s="1">
        <v>9.61</v>
      </c>
      <c r="H53" s="26">
        <f>F53*G53</f>
        <v>13454</v>
      </c>
    </row>
    <row r="54" spans="1:8" ht="24" x14ac:dyDescent="0.25">
      <c r="A54" s="28" t="s">
        <v>23</v>
      </c>
      <c r="B54" s="27" t="s">
        <v>129</v>
      </c>
      <c r="C54" s="3" t="s">
        <v>163</v>
      </c>
      <c r="D54" s="35" t="s">
        <v>131</v>
      </c>
      <c r="E54" s="4" t="s">
        <v>113</v>
      </c>
      <c r="F54" s="1">
        <f>F53*0.15*1.3</f>
        <v>273</v>
      </c>
      <c r="G54" s="1">
        <v>3.35</v>
      </c>
      <c r="H54" s="26">
        <f t="shared" ref="H54:H55" si="5">F54*G54</f>
        <v>914.55000000000007</v>
      </c>
    </row>
    <row r="55" spans="1:8" ht="24" x14ac:dyDescent="0.25">
      <c r="A55" s="28" t="s">
        <v>23</v>
      </c>
      <c r="B55" s="27" t="s">
        <v>132</v>
      </c>
      <c r="C55" s="3" t="s">
        <v>164</v>
      </c>
      <c r="D55" s="35" t="s">
        <v>134</v>
      </c>
      <c r="E55" s="4" t="s">
        <v>135</v>
      </c>
      <c r="F55" s="1">
        <f>F54*10</f>
        <v>2730</v>
      </c>
      <c r="G55" s="1">
        <v>0.87</v>
      </c>
      <c r="H55" s="26">
        <f t="shared" si="5"/>
        <v>2375.1</v>
      </c>
    </row>
    <row r="56" spans="1:8" x14ac:dyDescent="0.25">
      <c r="A56" s="28"/>
      <c r="B56" s="27"/>
      <c r="C56" s="3"/>
      <c r="D56" s="87" t="s">
        <v>136</v>
      </c>
      <c r="E56" s="88"/>
      <c r="F56" s="1"/>
      <c r="G56" s="1"/>
      <c r="H56" s="26"/>
    </row>
    <row r="57" spans="1:8" ht="24" x14ac:dyDescent="0.25">
      <c r="A57" s="28" t="s">
        <v>23</v>
      </c>
      <c r="B57" s="27" t="s">
        <v>137</v>
      </c>
      <c r="C57" s="3" t="s">
        <v>165</v>
      </c>
      <c r="D57" s="89" t="s">
        <v>139</v>
      </c>
      <c r="E57" s="4" t="s">
        <v>120</v>
      </c>
      <c r="F57" s="1">
        <f>F53</f>
        <v>1400</v>
      </c>
      <c r="G57" s="1">
        <v>1.1100000000000001</v>
      </c>
      <c r="H57" s="26">
        <f t="shared" ref="H57:H60" si="6">F57*G57</f>
        <v>1554.0000000000002</v>
      </c>
    </row>
    <row r="58" spans="1:8" x14ac:dyDescent="0.25">
      <c r="A58" s="28" t="s">
        <v>23</v>
      </c>
      <c r="B58" s="27" t="s">
        <v>140</v>
      </c>
      <c r="C58" s="3" t="s">
        <v>166</v>
      </c>
      <c r="D58" s="89" t="s">
        <v>142</v>
      </c>
      <c r="E58" s="4" t="s">
        <v>120</v>
      </c>
      <c r="F58" s="1">
        <f>F53</f>
        <v>1400</v>
      </c>
      <c r="G58" s="1">
        <v>4.78</v>
      </c>
      <c r="H58" s="26">
        <f t="shared" si="6"/>
        <v>6692</v>
      </c>
    </row>
    <row r="59" spans="1:8" x14ac:dyDescent="0.25">
      <c r="A59" s="28" t="s">
        <v>23</v>
      </c>
      <c r="B59" s="27" t="s">
        <v>143</v>
      </c>
      <c r="C59" s="3" t="s">
        <v>167</v>
      </c>
      <c r="D59" s="89" t="s">
        <v>145</v>
      </c>
      <c r="E59" s="4" t="s">
        <v>120</v>
      </c>
      <c r="F59" s="1">
        <f>F53</f>
        <v>1400</v>
      </c>
      <c r="G59" s="1">
        <v>1.32</v>
      </c>
      <c r="H59" s="26">
        <f t="shared" si="6"/>
        <v>1848</v>
      </c>
    </row>
    <row r="60" spans="1:8" ht="24" x14ac:dyDescent="0.25">
      <c r="A60" s="28" t="s">
        <v>23</v>
      </c>
      <c r="B60" s="27" t="s">
        <v>146</v>
      </c>
      <c r="C60" s="3" t="s">
        <v>168</v>
      </c>
      <c r="D60" s="90" t="s">
        <v>148</v>
      </c>
      <c r="E60" s="88" t="s">
        <v>113</v>
      </c>
      <c r="F60" s="2">
        <f>F53*0.07</f>
        <v>98.000000000000014</v>
      </c>
      <c r="G60" s="1">
        <v>719.2</v>
      </c>
      <c r="H60" s="26">
        <f t="shared" si="6"/>
        <v>70481.60000000002</v>
      </c>
    </row>
    <row r="61" spans="1:8" x14ac:dyDescent="0.25">
      <c r="A61" s="34"/>
      <c r="B61" s="32"/>
      <c r="C61" s="29" t="s">
        <v>93</v>
      </c>
      <c r="D61" s="30" t="s">
        <v>169</v>
      </c>
      <c r="E61" s="92" t="s">
        <v>6</v>
      </c>
      <c r="F61" s="93"/>
      <c r="G61" s="105"/>
      <c r="H61" s="31">
        <f>SUM(H62:H63)</f>
        <v>59440</v>
      </c>
    </row>
    <row r="62" spans="1:8" x14ac:dyDescent="0.25">
      <c r="A62" s="28" t="s">
        <v>23</v>
      </c>
      <c r="B62" s="27" t="s">
        <v>150</v>
      </c>
      <c r="C62" s="3" t="s">
        <v>170</v>
      </c>
      <c r="D62" s="33" t="s">
        <v>152</v>
      </c>
      <c r="E62" s="4" t="s">
        <v>153</v>
      </c>
      <c r="F62" s="1">
        <v>2000</v>
      </c>
      <c r="G62" s="2">
        <v>2.75</v>
      </c>
      <c r="H62" s="26">
        <f>G62*F62</f>
        <v>5500</v>
      </c>
    </row>
    <row r="63" spans="1:8" x14ac:dyDescent="0.25">
      <c r="A63" s="28" t="s">
        <v>23</v>
      </c>
      <c r="B63" s="27" t="s">
        <v>154</v>
      </c>
      <c r="C63" s="3" t="s">
        <v>171</v>
      </c>
      <c r="D63" s="33" t="s">
        <v>156</v>
      </c>
      <c r="E63" s="4" t="s">
        <v>153</v>
      </c>
      <c r="F63" s="1">
        <f>F62</f>
        <v>2000</v>
      </c>
      <c r="G63" s="2">
        <v>26.97</v>
      </c>
      <c r="H63" s="26">
        <f>G63*F63</f>
        <v>53940</v>
      </c>
    </row>
    <row r="64" spans="1:8" ht="33" customHeight="1" x14ac:dyDescent="0.25">
      <c r="A64" s="94" t="s">
        <v>97</v>
      </c>
      <c r="B64" s="95"/>
      <c r="C64" s="95"/>
      <c r="D64" s="95"/>
      <c r="E64" s="95"/>
      <c r="F64" s="95"/>
      <c r="G64" s="95"/>
      <c r="H64" s="96"/>
    </row>
    <row r="65" spans="1:9" x14ac:dyDescent="0.25">
      <c r="A65" s="34"/>
      <c r="B65" s="32"/>
      <c r="C65" s="29">
        <v>4</v>
      </c>
      <c r="D65" s="30" t="s">
        <v>66</v>
      </c>
      <c r="E65" s="92" t="s">
        <v>6</v>
      </c>
      <c r="F65" s="93"/>
      <c r="G65" s="93"/>
      <c r="H65" s="31">
        <f>SUM(H66:H73)</f>
        <v>729034.58600000001</v>
      </c>
    </row>
    <row r="66" spans="1:9" x14ac:dyDescent="0.25">
      <c r="A66" s="28" t="s">
        <v>23</v>
      </c>
      <c r="B66" s="27" t="s">
        <v>86</v>
      </c>
      <c r="C66" s="3" t="s">
        <v>172</v>
      </c>
      <c r="D66" s="76" t="s">
        <v>59</v>
      </c>
      <c r="E66" s="4" t="s">
        <v>31</v>
      </c>
      <c r="F66" s="1">
        <f>200*0.2</f>
        <v>40</v>
      </c>
      <c r="G66" s="1">
        <v>10.08</v>
      </c>
      <c r="H66" s="26">
        <f>F66*G66</f>
        <v>403.2</v>
      </c>
    </row>
    <row r="67" spans="1:9" ht="24" x14ac:dyDescent="0.25">
      <c r="A67" s="28" t="s">
        <v>23</v>
      </c>
      <c r="B67" s="27" t="s">
        <v>87</v>
      </c>
      <c r="C67" s="3" t="s">
        <v>173</v>
      </c>
      <c r="D67" s="33" t="s">
        <v>84</v>
      </c>
      <c r="E67" s="4" t="s">
        <v>29</v>
      </c>
      <c r="F67" s="1">
        <f>40*0.2</f>
        <v>8</v>
      </c>
      <c r="G67" s="1">
        <v>223.81</v>
      </c>
      <c r="H67" s="26">
        <f>F67*G67</f>
        <v>1790.48</v>
      </c>
    </row>
    <row r="68" spans="1:9" x14ac:dyDescent="0.25">
      <c r="A68" s="28" t="s">
        <v>23</v>
      </c>
      <c r="B68" s="27" t="s">
        <v>88</v>
      </c>
      <c r="C68" s="3" t="s">
        <v>174</v>
      </c>
      <c r="D68" s="35" t="s">
        <v>85</v>
      </c>
      <c r="E68" s="4" t="s">
        <v>60</v>
      </c>
      <c r="F68" s="1">
        <f>F72*29</f>
        <v>348</v>
      </c>
      <c r="G68" s="1">
        <v>4.18</v>
      </c>
      <c r="H68" s="26">
        <f>F68*G68</f>
        <v>1454.6399999999999</v>
      </c>
    </row>
    <row r="69" spans="1:9" x14ac:dyDescent="0.25">
      <c r="A69" s="28" t="s">
        <v>23</v>
      </c>
      <c r="B69" s="27" t="s">
        <v>99</v>
      </c>
      <c r="C69" s="3" t="s">
        <v>175</v>
      </c>
      <c r="D69" s="35" t="s">
        <v>100</v>
      </c>
      <c r="E69" s="4" t="s">
        <v>29</v>
      </c>
      <c r="F69" s="1">
        <f>525*0.2</f>
        <v>105</v>
      </c>
      <c r="G69" s="1">
        <v>0.97</v>
      </c>
      <c r="H69" s="23">
        <f>G69*F69</f>
        <v>101.85</v>
      </c>
    </row>
    <row r="70" spans="1:9" x14ac:dyDescent="0.25">
      <c r="A70" s="28" t="s">
        <v>23</v>
      </c>
      <c r="B70" s="27" t="s">
        <v>82</v>
      </c>
      <c r="C70" s="3" t="s">
        <v>176</v>
      </c>
      <c r="D70" s="35" t="s">
        <v>101</v>
      </c>
      <c r="E70" s="4" t="s">
        <v>31</v>
      </c>
      <c r="F70" s="1">
        <f>1117*0.2</f>
        <v>223.4</v>
      </c>
      <c r="G70" s="1">
        <v>34.15</v>
      </c>
      <c r="H70" s="23">
        <f>G70*F70</f>
        <v>7629.11</v>
      </c>
    </row>
    <row r="71" spans="1:9" x14ac:dyDescent="0.25">
      <c r="A71" s="28" t="s">
        <v>90</v>
      </c>
      <c r="B71" s="27">
        <v>65000251</v>
      </c>
      <c r="C71" s="3" t="s">
        <v>177</v>
      </c>
      <c r="D71" s="35" t="s">
        <v>102</v>
      </c>
      <c r="E71" s="4" t="s">
        <v>31</v>
      </c>
      <c r="F71" s="1">
        <f>1117*0.2</f>
        <v>223.4</v>
      </c>
      <c r="G71" s="1">
        <v>15.69</v>
      </c>
      <c r="H71" s="23">
        <f>G71*F71</f>
        <v>3505.1460000000002</v>
      </c>
    </row>
    <row r="72" spans="1:9" x14ac:dyDescent="0.25">
      <c r="A72" s="28" t="s">
        <v>23</v>
      </c>
      <c r="B72" s="27" t="s">
        <v>89</v>
      </c>
      <c r="C72" s="3" t="s">
        <v>178</v>
      </c>
      <c r="D72" s="76" t="s">
        <v>61</v>
      </c>
      <c r="E72" s="4" t="s">
        <v>29</v>
      </c>
      <c r="F72" s="1">
        <f>60*0.2</f>
        <v>12</v>
      </c>
      <c r="G72" s="1">
        <v>330.43</v>
      </c>
      <c r="H72" s="26">
        <f>F72*G72</f>
        <v>3965.16</v>
      </c>
    </row>
    <row r="73" spans="1:9" ht="15.75" customHeight="1" x14ac:dyDescent="0.25">
      <c r="A73" s="28" t="s">
        <v>98</v>
      </c>
      <c r="B73" s="27" t="s">
        <v>105</v>
      </c>
      <c r="C73" s="3" t="s">
        <v>179</v>
      </c>
      <c r="D73" s="77" t="s">
        <v>197</v>
      </c>
      <c r="E73" s="4" t="s">
        <v>58</v>
      </c>
      <c r="F73" s="1">
        <v>1</v>
      </c>
      <c r="G73" s="1">
        <v>710185</v>
      </c>
      <c r="H73" s="26">
        <f>F73*G73</f>
        <v>710185</v>
      </c>
      <c r="I73" s="91"/>
    </row>
    <row r="74" spans="1:9" ht="33" customHeight="1" x14ac:dyDescent="0.25">
      <c r="A74" s="94" t="s">
        <v>65</v>
      </c>
      <c r="B74" s="95"/>
      <c r="C74" s="95"/>
      <c r="D74" s="95"/>
      <c r="E74" s="95"/>
      <c r="F74" s="95"/>
      <c r="G74" s="95"/>
      <c r="H74" s="96"/>
    </row>
    <row r="75" spans="1:9" x14ac:dyDescent="0.25">
      <c r="A75" s="34"/>
      <c r="B75" s="32"/>
      <c r="C75" s="29">
        <v>5</v>
      </c>
      <c r="D75" s="30" t="s">
        <v>66</v>
      </c>
      <c r="E75" s="92" t="s">
        <v>6</v>
      </c>
      <c r="F75" s="93"/>
      <c r="G75" s="93"/>
      <c r="H75" s="31">
        <f>SUM(H76:H83)</f>
        <v>64562.383039999993</v>
      </c>
    </row>
    <row r="76" spans="1:9" x14ac:dyDescent="0.25">
      <c r="A76" s="28" t="s">
        <v>90</v>
      </c>
      <c r="B76" s="27">
        <v>70302001</v>
      </c>
      <c r="C76" s="3" t="s">
        <v>180</v>
      </c>
      <c r="D76" s="35" t="s">
        <v>62</v>
      </c>
      <c r="E76" s="4" t="s">
        <v>55</v>
      </c>
      <c r="F76" s="1">
        <v>40</v>
      </c>
      <c r="G76" s="1">
        <f>31.212*1.748</f>
        <v>54.558576000000002</v>
      </c>
      <c r="H76" s="23">
        <f t="shared" ref="H76:H83" si="7">G76*F76</f>
        <v>2182.3430400000002</v>
      </c>
    </row>
    <row r="77" spans="1:9" ht="48.75" customHeight="1" x14ac:dyDescent="0.25">
      <c r="A77" s="28" t="s">
        <v>90</v>
      </c>
      <c r="B77" s="27" t="s">
        <v>94</v>
      </c>
      <c r="C77" s="3" t="s">
        <v>181</v>
      </c>
      <c r="D77" s="35" t="s">
        <v>95</v>
      </c>
      <c r="E77" s="4" t="s">
        <v>58</v>
      </c>
      <c r="F77" s="1">
        <v>1</v>
      </c>
      <c r="G77" s="1">
        <f>20240*1.748</f>
        <v>35379.519999999997</v>
      </c>
      <c r="H77" s="23">
        <f>G77*F77</f>
        <v>35379.519999999997</v>
      </c>
    </row>
    <row r="78" spans="1:9" ht="36" x14ac:dyDescent="0.25">
      <c r="A78" s="28" t="s">
        <v>23</v>
      </c>
      <c r="B78" s="27" t="s">
        <v>74</v>
      </c>
      <c r="C78" s="3" t="s">
        <v>182</v>
      </c>
      <c r="D78" s="35" t="s">
        <v>75</v>
      </c>
      <c r="E78" s="4" t="s">
        <v>55</v>
      </c>
      <c r="F78" s="1">
        <v>160</v>
      </c>
      <c r="G78" s="1">
        <v>86.75</v>
      </c>
      <c r="H78" s="23">
        <f t="shared" si="7"/>
        <v>13880</v>
      </c>
    </row>
    <row r="79" spans="1:9" ht="24" x14ac:dyDescent="0.25">
      <c r="A79" s="28" t="s">
        <v>23</v>
      </c>
      <c r="B79" s="27" t="s">
        <v>76</v>
      </c>
      <c r="C79" s="3" t="s">
        <v>183</v>
      </c>
      <c r="D79" s="35" t="s">
        <v>77</v>
      </c>
      <c r="E79" s="4" t="s">
        <v>58</v>
      </c>
      <c r="F79" s="1">
        <v>2</v>
      </c>
      <c r="G79" s="1">
        <v>1110.44</v>
      </c>
      <c r="H79" s="23">
        <f t="shared" si="7"/>
        <v>2220.88</v>
      </c>
    </row>
    <row r="80" spans="1:9" x14ac:dyDescent="0.25">
      <c r="A80" s="28" t="s">
        <v>23</v>
      </c>
      <c r="B80" s="27" t="s">
        <v>78</v>
      </c>
      <c r="C80" s="3" t="s">
        <v>184</v>
      </c>
      <c r="D80" s="35" t="s">
        <v>79</v>
      </c>
      <c r="E80" s="4" t="s">
        <v>31</v>
      </c>
      <c r="F80" s="1">
        <v>160</v>
      </c>
      <c r="G80" s="1">
        <v>9.4499999999999993</v>
      </c>
      <c r="H80" s="23">
        <f t="shared" si="7"/>
        <v>1512</v>
      </c>
    </row>
    <row r="81" spans="1:8" x14ac:dyDescent="0.25">
      <c r="A81" s="28" t="s">
        <v>23</v>
      </c>
      <c r="B81" s="27" t="s">
        <v>80</v>
      </c>
      <c r="C81" s="3" t="s">
        <v>185</v>
      </c>
      <c r="D81" s="35" t="s">
        <v>81</v>
      </c>
      <c r="E81" s="4" t="s">
        <v>55</v>
      </c>
      <c r="F81" s="1">
        <v>160</v>
      </c>
      <c r="G81" s="1">
        <v>26.09</v>
      </c>
      <c r="H81" s="23">
        <f t="shared" si="7"/>
        <v>4174.3999999999996</v>
      </c>
    </row>
    <row r="82" spans="1:8" ht="15" customHeight="1" x14ac:dyDescent="0.25">
      <c r="A82" s="28" t="s">
        <v>23</v>
      </c>
      <c r="B82" s="27" t="s">
        <v>103</v>
      </c>
      <c r="C82" s="3" t="s">
        <v>186</v>
      </c>
      <c r="D82" s="77" t="s">
        <v>104</v>
      </c>
      <c r="E82" s="4" t="s">
        <v>55</v>
      </c>
      <c r="F82" s="1">
        <f>36*0.5</f>
        <v>18</v>
      </c>
      <c r="G82" s="1">
        <v>96.98</v>
      </c>
      <c r="H82" s="23">
        <f t="shared" si="7"/>
        <v>1745.64</v>
      </c>
    </row>
    <row r="83" spans="1:8" x14ac:dyDescent="0.25">
      <c r="A83" s="28" t="s">
        <v>23</v>
      </c>
      <c r="B83" s="27" t="s">
        <v>83</v>
      </c>
      <c r="C83" s="3" t="s">
        <v>187</v>
      </c>
      <c r="D83" s="35" t="s">
        <v>64</v>
      </c>
      <c r="E83" s="4" t="s">
        <v>29</v>
      </c>
      <c r="F83" s="1">
        <f>20*20*0.1</f>
        <v>40</v>
      </c>
      <c r="G83" s="1">
        <v>86.69</v>
      </c>
      <c r="H83" s="23">
        <f t="shared" si="7"/>
        <v>3467.6</v>
      </c>
    </row>
    <row r="84" spans="1:8" ht="24.95" customHeight="1" x14ac:dyDescent="0.25">
      <c r="A84" s="50" t="s">
        <v>12</v>
      </c>
      <c r="B84" s="38"/>
      <c r="C84" s="38"/>
      <c r="D84" s="38"/>
      <c r="E84" s="38"/>
      <c r="F84" s="38"/>
      <c r="G84" s="48"/>
      <c r="H84" s="24">
        <f>SUM(H75,H65,H14,H61,H51,H45,H41,H31,H25)</f>
        <v>2847275.4671649998</v>
      </c>
    </row>
    <row r="85" spans="1:8" ht="24.95" customHeight="1" x14ac:dyDescent="0.25">
      <c r="A85" s="52" t="s">
        <v>39</v>
      </c>
      <c r="B85" s="53"/>
      <c r="C85" s="53"/>
      <c r="D85" s="53" t="s">
        <v>40</v>
      </c>
      <c r="E85" s="53"/>
      <c r="F85" s="53"/>
      <c r="G85" s="54"/>
      <c r="H85" s="55">
        <f>H84*0.26</f>
        <v>740291.62146289996</v>
      </c>
    </row>
    <row r="86" spans="1:8" ht="24.95" customHeight="1" thickBot="1" x14ac:dyDescent="0.3">
      <c r="A86" s="51" t="s">
        <v>13</v>
      </c>
      <c r="B86" s="36"/>
      <c r="C86" s="36"/>
      <c r="D86" s="36"/>
      <c r="E86" s="36"/>
      <c r="F86" s="36"/>
      <c r="G86" s="49"/>
      <c r="H86" s="25">
        <f>H84+H85</f>
        <v>3587567.0886279</v>
      </c>
    </row>
  </sheetData>
  <mergeCells count="25">
    <mergeCell ref="A11:B11"/>
    <mergeCell ref="E45:G45"/>
    <mergeCell ref="E51:G51"/>
    <mergeCell ref="E61:G61"/>
    <mergeCell ref="C3:F4"/>
    <mergeCell ref="C6:F6"/>
    <mergeCell ref="C7:F7"/>
    <mergeCell ref="C8:F8"/>
    <mergeCell ref="C9:F9"/>
    <mergeCell ref="E75:G75"/>
    <mergeCell ref="A74:H74"/>
    <mergeCell ref="A64:H64"/>
    <mergeCell ref="E65:G65"/>
    <mergeCell ref="G11:H11"/>
    <mergeCell ref="C11:C12"/>
    <mergeCell ref="D11:D12"/>
    <mergeCell ref="E11:E12"/>
    <mergeCell ref="F11:F12"/>
    <mergeCell ref="A13:H13"/>
    <mergeCell ref="E14:G14"/>
    <mergeCell ref="A24:H24"/>
    <mergeCell ref="E25:G25"/>
    <mergeCell ref="E31:G31"/>
    <mergeCell ref="E41:G41"/>
    <mergeCell ref="A44:H44"/>
  </mergeCells>
  <printOptions horizontalCentered="1"/>
  <pageMargins left="0.98425196850393704" right="0.70866141732283472" top="1.1811023622047245" bottom="1.1811023622047245" header="0" footer="0"/>
  <pageSetup paperSize="9" scale="90" orientation="landscape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O12" sqref="O12"/>
    </sheetView>
  </sheetViews>
  <sheetFormatPr defaultRowHeight="15" x14ac:dyDescent="0.25"/>
  <cols>
    <col min="15" max="15" width="13.140625" customWidth="1"/>
    <col min="16" max="16" width="14.28515625" customWidth="1"/>
  </cols>
  <sheetData>
    <row r="1" spans="1:16" x14ac:dyDescent="0.25">
      <c r="A1" s="42" t="s">
        <v>24</v>
      </c>
      <c r="E1" s="44" t="s">
        <v>28</v>
      </c>
      <c r="F1" s="44" t="s">
        <v>26</v>
      </c>
      <c r="G1" s="44" t="s">
        <v>27</v>
      </c>
      <c r="H1" s="44" t="s">
        <v>5</v>
      </c>
    </row>
    <row r="2" spans="1:16" x14ac:dyDescent="0.25">
      <c r="J2" t="s">
        <v>48</v>
      </c>
    </row>
    <row r="3" spans="1:16" x14ac:dyDescent="0.25">
      <c r="A3" s="111" t="s">
        <v>33</v>
      </c>
      <c r="B3" s="111"/>
      <c r="C3" s="111"/>
      <c r="D3" s="111"/>
      <c r="E3" s="57" t="s">
        <v>28</v>
      </c>
      <c r="F3" s="57">
        <v>1</v>
      </c>
      <c r="G3" s="59">
        <v>700</v>
      </c>
      <c r="J3" s="61"/>
      <c r="K3" s="61"/>
      <c r="L3" s="62" t="s">
        <v>43</v>
      </c>
      <c r="M3" s="62" t="s">
        <v>45</v>
      </c>
      <c r="O3" s="62" t="s">
        <v>46</v>
      </c>
      <c r="P3" s="69" t="s">
        <v>46</v>
      </c>
    </row>
    <row r="4" spans="1:16" x14ac:dyDescent="0.25">
      <c r="A4" s="111"/>
      <c r="B4" s="111"/>
      <c r="C4" s="111"/>
      <c r="D4" s="111"/>
      <c r="E4" s="56"/>
      <c r="F4" s="57"/>
      <c r="G4" s="59"/>
      <c r="J4" s="60">
        <v>3.1415999999999999</v>
      </c>
      <c r="K4" s="60">
        <v>4</v>
      </c>
      <c r="L4" s="60">
        <v>1.2</v>
      </c>
      <c r="M4" s="60">
        <v>1.7</v>
      </c>
      <c r="O4" s="63">
        <f>((J4/K4)*(POWER(L4,2)))*M4</f>
        <v>1.9226592</v>
      </c>
      <c r="P4" s="70">
        <f>O4*3</f>
        <v>5.7679776</v>
      </c>
    </row>
    <row r="5" spans="1:16" x14ac:dyDescent="0.25">
      <c r="A5" s="113" t="s">
        <v>34</v>
      </c>
      <c r="B5" s="113"/>
      <c r="C5" s="113"/>
      <c r="D5" s="113"/>
      <c r="E5" s="57" t="s">
        <v>28</v>
      </c>
      <c r="F5" s="57">
        <v>1</v>
      </c>
      <c r="G5" s="59">
        <v>500</v>
      </c>
      <c r="J5" s="60">
        <v>3.1415999999999999</v>
      </c>
      <c r="K5" s="60">
        <v>4</v>
      </c>
      <c r="L5" s="60">
        <v>1.4</v>
      </c>
      <c r="M5" s="60">
        <v>2.2000000000000002</v>
      </c>
      <c r="O5" s="63">
        <f t="shared" ref="O5:O6" si="0">((J5/K5)*(POWER(L5,2)))*M5</f>
        <v>3.3866448</v>
      </c>
      <c r="P5" s="70">
        <f t="shared" ref="P5:P6" si="1">O5*3</f>
        <v>10.159934400000001</v>
      </c>
    </row>
    <row r="6" spans="1:16" x14ac:dyDescent="0.25">
      <c r="A6" s="113"/>
      <c r="B6" s="113"/>
      <c r="C6" s="113"/>
      <c r="D6" s="113"/>
      <c r="E6" s="56"/>
      <c r="F6" s="57"/>
      <c r="G6" s="59"/>
      <c r="J6" s="60">
        <v>3.1415999999999999</v>
      </c>
      <c r="K6" s="60">
        <v>4</v>
      </c>
      <c r="L6" s="60">
        <v>1.7</v>
      </c>
      <c r="M6" s="60">
        <v>2.2000000000000002</v>
      </c>
      <c r="O6" s="63">
        <f t="shared" si="0"/>
        <v>4.9935731999999993</v>
      </c>
      <c r="P6" s="70">
        <f t="shared" si="1"/>
        <v>14.980719599999997</v>
      </c>
    </row>
    <row r="7" spans="1:16" ht="15" customHeight="1" x14ac:dyDescent="0.25">
      <c r="A7" s="67" t="s">
        <v>35</v>
      </c>
      <c r="B7" s="67"/>
      <c r="C7" s="67"/>
      <c r="D7" s="67"/>
      <c r="E7" s="57" t="s">
        <v>28</v>
      </c>
      <c r="F7" s="57">
        <v>1</v>
      </c>
      <c r="G7" s="59">
        <v>500</v>
      </c>
      <c r="P7" s="71"/>
    </row>
    <row r="8" spans="1:16" x14ac:dyDescent="0.25">
      <c r="A8" s="68"/>
      <c r="B8" s="68"/>
      <c r="C8" s="68"/>
      <c r="D8" s="68"/>
      <c r="E8" s="57"/>
      <c r="F8" s="57"/>
      <c r="G8" s="59"/>
      <c r="J8" t="s">
        <v>49</v>
      </c>
      <c r="P8" s="71"/>
    </row>
    <row r="9" spans="1:16" s="66" customFormat="1" x14ac:dyDescent="0.25">
      <c r="A9" s="68"/>
      <c r="B9" s="68"/>
      <c r="C9" s="68"/>
      <c r="D9" s="68"/>
      <c r="E9" s="64"/>
      <c r="F9" s="64"/>
      <c r="G9" s="65"/>
      <c r="J9" s="61"/>
      <c r="K9" s="61"/>
      <c r="L9" s="62" t="s">
        <v>43</v>
      </c>
      <c r="M9" s="62" t="s">
        <v>45</v>
      </c>
      <c r="N9"/>
      <c r="O9" s="62" t="s">
        <v>50</v>
      </c>
      <c r="P9" s="69" t="s">
        <v>50</v>
      </c>
    </row>
    <row r="10" spans="1:16" s="66" customFormat="1" x14ac:dyDescent="0.25">
      <c r="A10" s="68"/>
      <c r="B10" s="68"/>
      <c r="C10" s="68"/>
      <c r="D10" s="68"/>
      <c r="E10" s="64"/>
      <c r="F10" s="64"/>
      <c r="G10" s="65"/>
      <c r="J10" s="60">
        <v>3.1415999999999999</v>
      </c>
      <c r="K10" s="60">
        <v>4</v>
      </c>
      <c r="L10" s="60">
        <v>1.2</v>
      </c>
      <c r="M10" s="60"/>
      <c r="N10"/>
      <c r="O10" s="63">
        <f>((J10/K10)*(POWER(L10,2)))</f>
        <v>1.130976</v>
      </c>
      <c r="P10" s="70">
        <f>O10*3</f>
        <v>3.3929279999999999</v>
      </c>
    </row>
    <row r="11" spans="1:16" s="66" customFormat="1" x14ac:dyDescent="0.25">
      <c r="A11" s="68"/>
      <c r="B11" s="68"/>
      <c r="C11" s="68"/>
      <c r="D11" s="68"/>
      <c r="E11" s="64"/>
      <c r="F11" s="64"/>
      <c r="G11" s="65"/>
      <c r="J11" s="60">
        <v>3.1415999999999999</v>
      </c>
      <c r="K11" s="60">
        <v>4</v>
      </c>
      <c r="L11" s="60">
        <v>1.4</v>
      </c>
      <c r="M11" s="60"/>
      <c r="N11"/>
      <c r="O11" s="63">
        <f t="shared" ref="O11:O12" si="2">((J11/K11)*(POWER(L11,2)))</f>
        <v>1.5393839999999999</v>
      </c>
      <c r="P11" s="70">
        <f t="shared" ref="P11:P12" si="3">O11*3</f>
        <v>4.6181519999999994</v>
      </c>
    </row>
    <row r="12" spans="1:16" s="66" customFormat="1" x14ac:dyDescent="0.25">
      <c r="A12" s="68"/>
      <c r="B12" s="68"/>
      <c r="C12" s="68"/>
      <c r="D12" s="68"/>
      <c r="E12" s="64"/>
      <c r="F12" s="64"/>
      <c r="G12" s="65"/>
      <c r="J12" s="60">
        <v>3.1415999999999999</v>
      </c>
      <c r="K12" s="60">
        <v>4</v>
      </c>
      <c r="L12" s="60">
        <v>1.7</v>
      </c>
      <c r="M12" s="60"/>
      <c r="N12"/>
      <c r="O12" s="63">
        <f t="shared" si="2"/>
        <v>2.2698059999999995</v>
      </c>
      <c r="P12" s="70">
        <f t="shared" si="3"/>
        <v>6.8094179999999991</v>
      </c>
    </row>
    <row r="13" spans="1:16" s="66" customFormat="1" x14ac:dyDescent="0.25">
      <c r="A13" s="68"/>
      <c r="B13" s="68"/>
      <c r="C13" s="68"/>
      <c r="D13" s="68"/>
      <c r="F13" s="64"/>
      <c r="G13" s="65"/>
      <c r="J13" s="66" t="s">
        <v>47</v>
      </c>
      <c r="P13" s="71"/>
    </row>
    <row r="14" spans="1:16" x14ac:dyDescent="0.25">
      <c r="A14" s="46"/>
      <c r="B14" s="46"/>
      <c r="C14" s="46"/>
      <c r="D14" s="46"/>
      <c r="F14" s="43"/>
      <c r="G14" s="41"/>
      <c r="J14" s="61"/>
      <c r="K14" s="61"/>
      <c r="L14" s="62" t="s">
        <v>43</v>
      </c>
      <c r="M14" s="62" t="s">
        <v>44</v>
      </c>
      <c r="N14" s="62" t="s">
        <v>45</v>
      </c>
      <c r="O14" s="62" t="s">
        <v>46</v>
      </c>
      <c r="P14" s="69" t="s">
        <v>46</v>
      </c>
    </row>
    <row r="15" spans="1:16" x14ac:dyDescent="0.25">
      <c r="A15" s="111" t="s">
        <v>30</v>
      </c>
      <c r="B15" s="111"/>
      <c r="C15" s="111"/>
      <c r="D15" s="111"/>
      <c r="E15" s="57" t="s">
        <v>31</v>
      </c>
      <c r="F15" s="58">
        <v>5</v>
      </c>
      <c r="G15" s="41"/>
      <c r="J15" s="60">
        <v>3.1415999999999999</v>
      </c>
      <c r="K15" s="60">
        <v>4</v>
      </c>
      <c r="L15" s="60">
        <v>1.2</v>
      </c>
      <c r="M15" s="60">
        <v>1</v>
      </c>
      <c r="N15" s="60">
        <v>1.7</v>
      </c>
      <c r="O15" s="63">
        <f>((J15/K15)*(POWER(L15,2)-POWER(M15,2)))*N15</f>
        <v>0.58747919999999987</v>
      </c>
      <c r="P15" s="70">
        <f>O15*3</f>
        <v>1.7624375999999997</v>
      </c>
    </row>
    <row r="16" spans="1:16" x14ac:dyDescent="0.25">
      <c r="A16" s="111"/>
      <c r="B16" s="111"/>
      <c r="C16" s="111"/>
      <c r="D16" s="111"/>
      <c r="E16" s="57"/>
      <c r="F16" s="58"/>
      <c r="G16" s="41"/>
      <c r="J16" s="60">
        <v>3.1415999999999999</v>
      </c>
      <c r="K16" s="60">
        <v>4</v>
      </c>
      <c r="L16" s="60">
        <v>1.4</v>
      </c>
      <c r="M16" s="60">
        <v>1.2</v>
      </c>
      <c r="N16" s="60">
        <v>2.2000000000000002</v>
      </c>
      <c r="O16" s="63">
        <f t="shared" ref="O16:O17" si="4">((J16/K16)*(POWER(L16,2)-POWER(M16,2)))*N16</f>
        <v>0.89849759999999967</v>
      </c>
      <c r="P16" s="70">
        <f t="shared" ref="P16:P17" si="5">O16*3</f>
        <v>2.6954927999999989</v>
      </c>
    </row>
    <row r="17" spans="1:16" x14ac:dyDescent="0.25">
      <c r="F17" s="45"/>
      <c r="G17" s="41"/>
      <c r="J17" s="60">
        <v>3.1415999999999999</v>
      </c>
      <c r="K17" s="60">
        <v>4</v>
      </c>
      <c r="L17" s="60">
        <v>1.7</v>
      </c>
      <c r="M17" s="60">
        <v>1.5</v>
      </c>
      <c r="N17" s="60">
        <v>2.2000000000000002</v>
      </c>
      <c r="O17" s="63">
        <f t="shared" si="4"/>
        <v>1.1058431999999996</v>
      </c>
      <c r="P17" s="70">
        <f t="shared" si="5"/>
        <v>3.3175295999999985</v>
      </c>
    </row>
    <row r="18" spans="1:16" x14ac:dyDescent="0.25">
      <c r="A18" s="56" t="s">
        <v>25</v>
      </c>
      <c r="B18" s="56"/>
      <c r="C18" s="56"/>
      <c r="D18" s="56"/>
      <c r="E18" s="57" t="s">
        <v>29</v>
      </c>
      <c r="F18" s="58">
        <v>8.82</v>
      </c>
      <c r="G18" s="41"/>
    </row>
    <row r="19" spans="1:16" x14ac:dyDescent="0.25">
      <c r="A19" s="40"/>
      <c r="E19" s="43"/>
      <c r="G19" s="41"/>
    </row>
    <row r="20" spans="1:16" x14ac:dyDescent="0.25">
      <c r="A20" s="112" t="s">
        <v>32</v>
      </c>
      <c r="B20" s="112"/>
      <c r="C20" s="112"/>
      <c r="D20" s="112"/>
      <c r="E20" s="43" t="s">
        <v>29</v>
      </c>
      <c r="F20" s="43">
        <v>1.96</v>
      </c>
      <c r="G20" s="41"/>
      <c r="H20">
        <v>85.84</v>
      </c>
    </row>
    <row r="21" spans="1:16" x14ac:dyDescent="0.25">
      <c r="A21" s="112"/>
      <c r="B21" s="112"/>
      <c r="C21" s="112"/>
      <c r="D21" s="112"/>
      <c r="E21" s="43"/>
      <c r="G21" s="41"/>
      <c r="N21" t="s">
        <v>52</v>
      </c>
    </row>
    <row r="22" spans="1:16" x14ac:dyDescent="0.25">
      <c r="E22" s="43"/>
      <c r="G22" s="41"/>
    </row>
    <row r="23" spans="1:16" x14ac:dyDescent="0.25">
      <c r="A23" s="56" t="s">
        <v>36</v>
      </c>
      <c r="B23" s="56"/>
      <c r="C23" s="56"/>
      <c r="D23" s="56"/>
      <c r="E23" s="57" t="s">
        <v>28</v>
      </c>
      <c r="F23" s="57">
        <v>3</v>
      </c>
      <c r="G23" s="41"/>
    </row>
    <row r="24" spans="1:16" x14ac:dyDescent="0.25">
      <c r="G24" s="41"/>
    </row>
  </sheetData>
  <mergeCells count="4">
    <mergeCell ref="A15:D16"/>
    <mergeCell ref="A20:D21"/>
    <mergeCell ref="A3:D4"/>
    <mergeCell ref="A5:D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SES</vt:lpstr>
      <vt:lpstr>Plan6</vt:lpstr>
      <vt:lpstr>Plan5</vt:lpstr>
      <vt:lpstr>Plan2</vt:lpstr>
      <vt:lpstr>Plan4</vt:lpstr>
      <vt:lpstr>Plan1</vt:lpstr>
      <vt:lpstr>Plan3</vt:lpstr>
      <vt:lpstr>SES!Titulos_de_impressao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2016-12-01T19:13:39Z</cp:lastPrinted>
  <dcterms:created xsi:type="dcterms:W3CDTF">2016-11-28T17:39:38Z</dcterms:created>
  <dcterms:modified xsi:type="dcterms:W3CDTF">2017-06-06T04:00:50Z</dcterms:modified>
</cp:coreProperties>
</file>